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homasgrosset/Desktop/Doc Com/EN/"/>
    </mc:Choice>
  </mc:AlternateContent>
  <xr:revisionPtr revIDLastSave="0" documentId="8_{9203CA26-46AA-8145-A27C-8088B1FE3465}" xr6:coauthVersionLast="45" xr6:coauthVersionMax="45" xr10:uidLastSave="{00000000-0000-0000-0000-000000000000}"/>
  <bookViews>
    <workbookView xWindow="0" yWindow="0" windowWidth="28800" windowHeight="18000" tabRatio="692" activeTab="5" xr2:uid="{00000000-000D-0000-FFFF-FFFF00000000}"/>
  </bookViews>
  <sheets>
    <sheet name="BG311219_DEF" sheetId="1" r:id="rId1"/>
    <sheet name="Charges 31122019" sheetId="2" r:id="rId2"/>
    <sheet name="Ressources 31122019" sheetId="3" r:id="rId3"/>
    <sheet name="CER 2019" sheetId="4" r:id="rId4"/>
    <sheet name="Graph" sheetId="5" r:id="rId5"/>
    <sheet name="Graph pour Rapport activité" sheetId="6" r:id="rId6"/>
  </sheets>
  <externalReferences>
    <externalReference r:id="rId7"/>
  </externalReferences>
  <definedNames>
    <definedName name="_xlnm._FilterDatabase" localSheetId="0" hidden="1">BG311219_DEF!$A$1:$D$289</definedName>
    <definedName name="_xlnm._FilterDatabase" localSheetId="1" hidden="1">'Charges 31122019'!$A$14:$E$257</definedName>
    <definedName name="_xlnm._FilterDatabase" localSheetId="2" hidden="1">'Ressources 31122019'!$A$11:$D$64</definedName>
    <definedName name="_xlnm.Print_Titles" localSheetId="3">'CER 2019'!$3:$6</definedName>
    <definedName name="_xlnm.Print_Area" localSheetId="3">'CER 2019'!$B$3:$P$52</definedName>
    <definedName name="_xlnm.Print_Area" localSheetId="1">'Charges 31122019'!$A$1:$E$265</definedName>
    <definedName name="_xlnm.Print_Area" localSheetId="2">'Ressources 31122019'!$A$1:$H$67</definedName>
  </definedNames>
  <calcPr calcId="191029"/>
  <pivotCaches>
    <pivotCache cacheId="2" r:id="rId8"/>
  </pivotCaches>
</workbook>
</file>

<file path=xl/calcChain.xml><?xml version="1.0" encoding="utf-8"?>
<calcChain xmlns="http://schemas.openxmlformats.org/spreadsheetml/2006/main">
  <c r="N46" i="4" l="1"/>
  <c r="F38" i="4"/>
  <c r="F45" i="4" l="1"/>
  <c r="F35" i="4"/>
  <c r="F29" i="4"/>
  <c r="F26" i="4"/>
  <c r="F25" i="4"/>
  <c r="F24" i="4"/>
  <c r="F19" i="4"/>
  <c r="F18" i="4"/>
  <c r="F12" i="4"/>
  <c r="N15" i="4" l="1"/>
  <c r="N13" i="4"/>
  <c r="C38" i="3" l="1"/>
  <c r="B40" i="3"/>
  <c r="B39" i="3"/>
  <c r="B38" i="3"/>
  <c r="B34" i="3"/>
  <c r="B33" i="3"/>
  <c r="C34" i="3"/>
  <c r="C33" i="3"/>
  <c r="C32" i="3"/>
  <c r="B32" i="3"/>
  <c r="D263" i="2" l="1"/>
  <c r="B13" i="3"/>
  <c r="C13" i="3"/>
  <c r="B14" i="3"/>
  <c r="C14" i="3"/>
  <c r="B15" i="3"/>
  <c r="C15" i="3"/>
  <c r="B16" i="3"/>
  <c r="C16" i="3"/>
  <c r="B17" i="3"/>
  <c r="C17" i="3"/>
  <c r="N22" i="4" s="1"/>
  <c r="B18" i="3"/>
  <c r="C18" i="3"/>
  <c r="B19" i="3"/>
  <c r="C19" i="3"/>
  <c r="B20" i="3"/>
  <c r="C20" i="3"/>
  <c r="N32" i="4" s="1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5" i="3"/>
  <c r="C35" i="3"/>
  <c r="B36" i="3"/>
  <c r="C36" i="3"/>
  <c r="B37" i="3"/>
  <c r="C37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N14" i="4" s="1"/>
  <c r="B53" i="3"/>
  <c r="C53" i="3"/>
  <c r="N23" i="4" s="1"/>
  <c r="B54" i="3"/>
  <c r="C54" i="3"/>
  <c r="N24" i="4" s="1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C12" i="3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9" i="2"/>
  <c r="C249" i="2"/>
  <c r="B250" i="2"/>
  <c r="B251" i="2"/>
  <c r="C251" i="2"/>
  <c r="B252" i="2"/>
  <c r="C252" i="2"/>
  <c r="B253" i="2"/>
  <c r="C253" i="2"/>
  <c r="B255" i="2"/>
  <c r="C255" i="2"/>
  <c r="B256" i="2"/>
  <c r="B257" i="2"/>
  <c r="C257" i="2"/>
  <c r="B15" i="2"/>
  <c r="N25" i="4" l="1"/>
  <c r="N35" i="4"/>
  <c r="N33" i="4"/>
  <c r="N30" i="4"/>
  <c r="N27" i="4"/>
  <c r="N12" i="4"/>
  <c r="C66" i="3"/>
  <c r="C67" i="3" s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" i="1"/>
  <c r="C293" i="1" s="1"/>
  <c r="N29" i="4" l="1"/>
  <c r="C292" i="1"/>
  <c r="C15" i="2" l="1"/>
  <c r="B12" i="3" l="1"/>
  <c r="B18" i="5" l="1"/>
  <c r="O14" i="4"/>
  <c r="N17" i="4"/>
  <c r="A38" i="5"/>
  <c r="A37" i="5"/>
  <c r="A36" i="5"/>
  <c r="A35" i="5"/>
  <c r="A34" i="5"/>
  <c r="A33" i="5"/>
  <c r="A32" i="5"/>
  <c r="B8" i="5"/>
  <c r="N48" i="4"/>
  <c r="O13" i="4"/>
  <c r="G17" i="4"/>
  <c r="O19" i="4"/>
  <c r="O18" i="4" s="1"/>
  <c r="O17" i="4" s="1"/>
  <c r="B20" i="5" l="1"/>
  <c r="B37" i="5" s="1"/>
  <c r="B44" i="5" s="1"/>
  <c r="N11" i="4"/>
  <c r="N9" i="4" s="1"/>
  <c r="B22" i="5"/>
  <c r="D260" i="2"/>
  <c r="F48" i="4"/>
  <c r="B17" i="5"/>
  <c r="B35" i="5"/>
  <c r="B19" i="5"/>
  <c r="C294" i="1"/>
  <c r="D261" i="2" l="1"/>
  <c r="D264" i="2" s="1"/>
  <c r="C69" i="3"/>
  <c r="E260" i="2"/>
  <c r="O12" i="4"/>
  <c r="O11" i="4" s="1"/>
  <c r="O9" i="4" s="1"/>
  <c r="O39" i="4" s="1"/>
  <c r="B15" i="5"/>
  <c r="B32" i="5" s="1"/>
  <c r="N21" i="4"/>
  <c r="B21" i="5"/>
  <c r="B38" i="5" s="1"/>
  <c r="B16" i="5"/>
  <c r="B33" i="5" s="1"/>
  <c r="B36" i="5"/>
  <c r="B34" i="5"/>
  <c r="B9" i="5" l="1"/>
  <c r="C70" i="3"/>
  <c r="B23" i="5"/>
  <c r="B24" i="5" s="1"/>
  <c r="B28" i="5"/>
  <c r="N34" i="4"/>
  <c r="Q29" i="4" s="1"/>
  <c r="B43" i="5"/>
  <c r="B45" i="5"/>
  <c r="B39" i="5"/>
  <c r="N39" i="4" l="1"/>
  <c r="Q23" i="4"/>
  <c r="Q22" i="4"/>
  <c r="Q25" i="4"/>
  <c r="Q24" i="4"/>
  <c r="Q27" i="4"/>
  <c r="Q9" i="4"/>
  <c r="C9" i="5"/>
  <c r="C23" i="5"/>
  <c r="C16" i="5"/>
  <c r="C21" i="5"/>
  <c r="C22" i="5"/>
  <c r="C18" i="5"/>
  <c r="C20" i="5"/>
  <c r="C28" i="5"/>
  <c r="C15" i="5"/>
  <c r="C19" i="5"/>
  <c r="C17" i="5"/>
  <c r="C37" i="5"/>
  <c r="C35" i="5"/>
  <c r="C38" i="5"/>
  <c r="B46" i="5"/>
  <c r="C44" i="5" s="1"/>
  <c r="C36" i="5"/>
  <c r="C34" i="5"/>
  <c r="C32" i="5"/>
  <c r="C33" i="5"/>
  <c r="B48" i="5" l="1"/>
  <c r="C45" i="5"/>
  <c r="C24" i="5"/>
  <c r="C43" i="5"/>
  <c r="C39" i="5"/>
  <c r="C46" i="5" l="1"/>
  <c r="F17" i="4" l="1"/>
  <c r="B5" i="5" s="1"/>
  <c r="B7" i="5" l="1"/>
  <c r="F23" i="4"/>
  <c r="G24" i="4"/>
  <c r="G12" i="4" s="1"/>
  <c r="F11" i="4" l="1"/>
  <c r="F9" i="4" s="1"/>
  <c r="F34" i="4" s="1"/>
  <c r="B4" i="5"/>
  <c r="B6" i="5"/>
  <c r="G23" i="4"/>
  <c r="G11" i="4"/>
  <c r="G9" i="4" s="1"/>
  <c r="D21" i="6" l="1"/>
  <c r="B10" i="5"/>
  <c r="G33" i="4"/>
  <c r="G42" i="4" s="1"/>
  <c r="O42" i="4" s="1"/>
  <c r="O43" i="4" s="1"/>
  <c r="A9" i="4"/>
  <c r="D7" i="5" l="1"/>
  <c r="D4" i="5"/>
  <c r="D6" i="5"/>
  <c r="D9" i="5"/>
  <c r="C8" i="5"/>
  <c r="C5" i="5"/>
  <c r="C7" i="5"/>
  <c r="C4" i="5"/>
  <c r="F39" i="4"/>
  <c r="N52" i="4" s="1"/>
  <c r="A29" i="4"/>
  <c r="A23" i="4"/>
  <c r="C6" i="5"/>
  <c r="D10" i="5" l="1"/>
  <c r="C1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95" authorId="0" shapeId="0" xr:uid="{6C9CA312-A7C3-FC40-AA77-E52BF63886B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CAC+projet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Administration</author>
  </authors>
  <commentList>
    <comment ref="K33" authorId="0" shapeId="0" xr:uid="{00000000-0006-0000-0300-000004000000}">
      <text>
        <r>
          <rPr>
            <b/>
            <sz val="9"/>
            <color rgb="FF000000"/>
            <rFont val="Arial"/>
            <family val="2"/>
          </rPr>
          <t>Administration: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Hors transfert de charge liés à paypal</t>
        </r>
      </text>
    </comment>
  </commentList>
</comments>
</file>

<file path=xl/sharedStrings.xml><?xml version="1.0" encoding="utf-8"?>
<sst xmlns="http://schemas.openxmlformats.org/spreadsheetml/2006/main" count="994" uniqueCount="468">
  <si>
    <t>Frais NMPP/Presstaliss</t>
  </si>
  <si>
    <t>Libre cours</t>
  </si>
  <si>
    <t>impression album</t>
  </si>
  <si>
    <t>impression communication</t>
  </si>
  <si>
    <t>Impression recherche</t>
  </si>
  <si>
    <t>Fourniture d'‚nergie rsf</t>
  </si>
  <si>
    <t>Fourniture d'energie erena</t>
  </si>
  <si>
    <t>fourniture d'eaux erena</t>
  </si>
  <si>
    <t>Ptts ‚quipements</t>
  </si>
  <si>
    <t>petits equipements comm</t>
  </si>
  <si>
    <t>petits ‚quipements recherche</t>
  </si>
  <si>
    <t>Fournitures administratives album</t>
  </si>
  <si>
    <t>Fournitures administratives recherc</t>
  </si>
  <si>
    <t>Fonds d'assistance (particuliers)</t>
  </si>
  <si>
    <t>Grant agreement</t>
  </si>
  <si>
    <t>Location Recherche</t>
  </si>
  <si>
    <t>Location archivage</t>
  </si>
  <si>
    <t>Loyer Radio ERENA</t>
  </si>
  <si>
    <t>Locations mobiliŠres</t>
  </si>
  <si>
    <t>Location mach affranchi</t>
  </si>
  <si>
    <t>Loyer cb</t>
  </si>
  <si>
    <t>Charges de copropri‚t‚</t>
  </si>
  <si>
    <t>Charges de copropri‚t‚ Radio Erena</t>
  </si>
  <si>
    <t>Entretien &amp; r‚p. s/biens immob.</t>
  </si>
  <si>
    <t>agences afp</t>
  </si>
  <si>
    <t>Documentation diverses</t>
  </si>
  <si>
    <t>Documentation diverses album</t>
  </si>
  <si>
    <t>Documentation diverses recherche</t>
  </si>
  <si>
    <t>Personnel int‚rimaire</t>
  </si>
  <si>
    <t>Honoraires CAC projets</t>
  </si>
  <si>
    <t>piges Asie</t>
  </si>
  <si>
    <t>piges Afrique</t>
  </si>
  <si>
    <t>piges afrique erena</t>
  </si>
  <si>
    <t>piges Europe</t>
  </si>
  <si>
    <t>piges Am‚riques</t>
  </si>
  <si>
    <t>piges Moyen-Orient</t>
  </si>
  <si>
    <t>Piges classement</t>
  </si>
  <si>
    <t>Commissions WAGRAM Prorata</t>
  </si>
  <si>
    <t>promotion RSF Album</t>
  </si>
  <si>
    <t>Annonces et insertion</t>
  </si>
  <si>
    <t>Frais de repas - album</t>
  </si>
  <si>
    <t>Frais de repas - Recherche</t>
  </si>
  <si>
    <t>Frais de repas - M‚c‚nat</t>
  </si>
  <si>
    <t>Prix - c‚r‚monie</t>
  </si>
  <si>
    <t>Frais postaux, Exp‚dition</t>
  </si>
  <si>
    <t>contrat post reponse</t>
  </si>
  <si>
    <t>Frais postaux, expedition album</t>
  </si>
  <si>
    <t>T‚l‚phones portables</t>
  </si>
  <si>
    <t>Ligne internet-tel Erena</t>
  </si>
  <si>
    <t>Services bancaires</t>
  </si>
  <si>
    <t>Frais virements</t>
  </si>
  <si>
    <t>Frais carte bancaire</t>
  </si>
  <si>
    <t>Frais western union</t>
  </si>
  <si>
    <t>frais paypal</t>
  </si>
  <si>
    <t>Cotisations et dons</t>
  </si>
  <si>
    <t>Cotisation RSF international</t>
  </si>
  <si>
    <t>Cotisations diverses</t>
  </si>
  <si>
    <t>Formation professionnelle</t>
  </si>
  <si>
    <t>Taxe d'apprentissage</t>
  </si>
  <si>
    <t>Cotisation fonciŠre des entreprises</t>
  </si>
  <si>
    <t>Taxe fonciŠre</t>
  </si>
  <si>
    <t>Taxe AGEFIPH</t>
  </si>
  <si>
    <t>Salaires bruts Belgique</t>
  </si>
  <si>
    <t>CS Belgique</t>
  </si>
  <si>
    <t>Audiens - Ass. rapatriement</t>
  </si>
  <si>
    <t>Prov sur indemnit‚s CDD</t>
  </si>
  <si>
    <t>Dot prov ch soc / C.P.</t>
  </si>
  <si>
    <t>Tickets restaurants</t>
  </si>
  <si>
    <t>M‚decine du travail</t>
  </si>
  <si>
    <t>Cartes de presse</t>
  </si>
  <si>
    <t>Autres charges de gestion</t>
  </si>
  <si>
    <t>Interets emprunt</t>
  </si>
  <si>
    <t>interets caution bancaire 54ke</t>
  </si>
  <si>
    <t>Perte de change</t>
  </si>
  <si>
    <t>P‚nalit‚s et amendes fiscales</t>
  </si>
  <si>
    <t>DAP immo corporelles</t>
  </si>
  <si>
    <t>Dot prov d‚pr‚c des stocks</t>
  </si>
  <si>
    <t>Ventes Albums Export</t>
  </si>
  <si>
    <t>Vente Albums Intracom</t>
  </si>
  <si>
    <t>Vente Nmpp albums 5,5%</t>
  </si>
  <si>
    <t>Album grde surfaces 5,5</t>
  </si>
  <si>
    <t>Vente Albums 5,5%</t>
  </si>
  <si>
    <t>Objets Promotionnels 20%</t>
  </si>
  <si>
    <t xml:space="preserve">T-Shirts </t>
  </si>
  <si>
    <t>Mise … dispo personnel rsfi</t>
  </si>
  <si>
    <t>Port France - Franco de port</t>
  </si>
  <si>
    <t>Port soumis … 5,5%</t>
  </si>
  <si>
    <t>Avoir publi grdes surfaces 5,5</t>
  </si>
  <si>
    <t>Avoir publications Export</t>
  </si>
  <si>
    <t>Variation stock Prod. finis</t>
  </si>
  <si>
    <t>Autres Subventions</t>
  </si>
  <si>
    <t>Contrats Orga Intern OIF / UE</t>
  </si>
  <si>
    <t>Contrats MinistŠres1ER MINISTRE AFD</t>
  </si>
  <si>
    <t>Subventions internationales</t>
  </si>
  <si>
    <t>Droits d'auteur</t>
  </si>
  <si>
    <t>Royalties 20%</t>
  </si>
  <si>
    <t>Royalties sans TVA - Hors CEE</t>
  </si>
  <si>
    <t>Produits divers sans TVA</t>
  </si>
  <si>
    <t>Produits pub album 20%</t>
  </si>
  <si>
    <t>Dons</t>
  </si>
  <si>
    <t>SG carte caritative</t>
  </si>
  <si>
    <t xml:space="preserve">Don en ligne </t>
  </si>
  <si>
    <t>Partenariat Prix</t>
  </si>
  <si>
    <t>Cotisations</t>
  </si>
  <si>
    <t>Cotisations etrangeres</t>
  </si>
  <si>
    <t>Pdts financiers</t>
  </si>
  <si>
    <t>Gain de change</t>
  </si>
  <si>
    <t>Reprise s/prov d‚pr. stocks</t>
  </si>
  <si>
    <t>Remboursement cpam</t>
  </si>
  <si>
    <t>Total Charges</t>
  </si>
  <si>
    <t>Total produits</t>
  </si>
  <si>
    <t>Légende :</t>
  </si>
  <si>
    <t>Missions sociales (France par convention) - Sensibilisation</t>
    <phoneticPr fontId="0" type="noConversion"/>
  </si>
  <si>
    <t>Missions sociales (Etranger par convention) - Assistance</t>
    <phoneticPr fontId="0" type="noConversion"/>
  </si>
  <si>
    <t>Fonctionnement</t>
  </si>
  <si>
    <t>Fonctionnement à répartir</t>
    <phoneticPr fontId="0" type="noConversion"/>
  </si>
  <si>
    <t>Couts de collecte (AGP / Legs)</t>
    <phoneticPr fontId="0" type="noConversion"/>
  </si>
  <si>
    <t>Couts de collecte (autres fonds privés)</t>
    <phoneticPr fontId="0" type="noConversion"/>
  </si>
  <si>
    <t>Dotation aux provisions</t>
  </si>
  <si>
    <t>EMPLOIS</t>
  </si>
  <si>
    <t>Compte</t>
  </si>
  <si>
    <t>Libellé</t>
  </si>
  <si>
    <t>Solde €</t>
  </si>
  <si>
    <t>Classification CER</t>
  </si>
  <si>
    <t>Clé de répartition</t>
  </si>
  <si>
    <t>N/A</t>
  </si>
  <si>
    <t>Fonctionnement/coûts indirects à répartir</t>
  </si>
  <si>
    <t>Mission sociale Sensibilisation</t>
  </si>
  <si>
    <t>Total des charges :</t>
  </si>
  <si>
    <t>Contrôle :</t>
  </si>
  <si>
    <t>Résultat vdef</t>
    <phoneticPr fontId="0" type="noConversion"/>
  </si>
  <si>
    <t>Ecart</t>
    <phoneticPr fontId="0" type="noConversion"/>
  </si>
  <si>
    <t>Publications et pdts dérivés =  Autres fonds privés</t>
    <phoneticPr fontId="0" type="noConversion"/>
  </si>
  <si>
    <t>Subventions er concours publics</t>
    <phoneticPr fontId="0" type="noConversion"/>
  </si>
  <si>
    <t>Autres produits</t>
  </si>
  <si>
    <t>Dons à répartir entre dons manuels affectés/non affectés, legs affectés/non affectés</t>
    <phoneticPr fontId="0" type="noConversion"/>
  </si>
  <si>
    <t>Mécénat et fondations = Autres fonds privés</t>
    <phoneticPr fontId="0" type="noConversion"/>
  </si>
  <si>
    <t>Prix = Autres fonds privés</t>
    <phoneticPr fontId="0" type="noConversion"/>
  </si>
  <si>
    <t>Reprise de provisions</t>
  </si>
  <si>
    <t>RESSOURCES</t>
  </si>
  <si>
    <t>Produits pub album CEE</t>
  </si>
  <si>
    <t>Total produits :</t>
  </si>
  <si>
    <t>Contrôle résultat</t>
    <phoneticPr fontId="0" type="noConversion"/>
  </si>
  <si>
    <t>ok</t>
    <phoneticPr fontId="0" type="noConversion"/>
  </si>
  <si>
    <t xml:space="preserve">EMPLOIS   </t>
  </si>
  <si>
    <t xml:space="preserve">RESSOURCES     </t>
  </si>
  <si>
    <r>
      <t xml:space="preserve">Report des ressources collectées auprès du public
</t>
    </r>
    <r>
      <rPr>
        <b/>
        <u/>
        <sz val="12"/>
        <rFont val="Calibri"/>
        <family val="2"/>
      </rPr>
      <t>non affectées</t>
    </r>
    <r>
      <rPr>
        <b/>
        <sz val="12"/>
        <rFont val="Calibri"/>
        <family val="2"/>
      </rPr>
      <t xml:space="preserve"> et </t>
    </r>
    <r>
      <rPr>
        <b/>
        <u/>
        <sz val="12"/>
        <rFont val="Calibri"/>
        <family val="2"/>
      </rPr>
      <t>non utilisées</t>
    </r>
    <r>
      <rPr>
        <b/>
        <sz val="12"/>
        <rFont val="Calibri"/>
        <family val="2"/>
      </rPr>
      <t xml:space="preserve"> en début d'exercice</t>
    </r>
  </si>
  <si>
    <t>T1</t>
  </si>
  <si>
    <t>1 - MISSIONS SOCIALES</t>
  </si>
  <si>
    <t>ST1</t>
  </si>
  <si>
    <t>1. RESSOURCES COLLECTEES AUPRES DU PUBLIC</t>
  </si>
  <si>
    <t>T2</t>
  </si>
  <si>
    <t>1.1. Réalisées en France</t>
  </si>
  <si>
    <t xml:space="preserve">    1.1. Dons et Legs collectés en France et à l'étranger</t>
    <phoneticPr fontId="0" type="noConversion"/>
  </si>
  <si>
    <t xml:space="preserve"> -  Mission d'information, de plaidoyer, de sensibilisation</t>
    <phoneticPr fontId="0" type="noConversion"/>
  </si>
  <si>
    <t xml:space="preserve"> - dons manuels NON affectés (dont cotisations)</t>
    <phoneticPr fontId="0" type="noConversion"/>
  </si>
  <si>
    <t xml:space="preserve"> (action réalisée directement)</t>
    <phoneticPr fontId="0" type="noConversion"/>
  </si>
  <si>
    <t xml:space="preserve"> - dons manuels affectés</t>
  </si>
  <si>
    <t>- legs et autres libéralités NON affectés</t>
  </si>
  <si>
    <t>- legs et autres libéralités affectés</t>
  </si>
  <si>
    <t>1.2. Réalisées à l'étranger</t>
  </si>
  <si>
    <t xml:space="preserve">    1.2. Autres produits liés à l'appel à la générosité du public</t>
  </si>
  <si>
    <t xml:space="preserve"> -  Soutien direct aux journalistes et aux médias</t>
    <phoneticPr fontId="0" type="noConversion"/>
  </si>
  <si>
    <t xml:space="preserve"> -  Mission d'information, de plaidoyer, de sensibilisation </t>
    <phoneticPr fontId="0" type="noConversion"/>
  </si>
  <si>
    <t xml:space="preserve">(action réalisée via les sections locales basées à l'étranger) </t>
    <phoneticPr fontId="0" type="noConversion"/>
  </si>
  <si>
    <t>2. AUTRES FONDS PRIVES</t>
  </si>
  <si>
    <t>- Ventes aux enchères</t>
    <phoneticPr fontId="0" type="noConversion"/>
  </si>
  <si>
    <t>2 - FRAIS DE RECHERCHE DE FONDS</t>
  </si>
  <si>
    <t>ST2</t>
  </si>
  <si>
    <t>- Mécénat et Fondations</t>
    <phoneticPr fontId="0" type="noConversion"/>
  </si>
  <si>
    <t>2.1. Frais d'appel à la générosité du public</t>
  </si>
  <si>
    <t>2.2. Frais de recherche des autres fonds privés</t>
    <phoneticPr fontId="0" type="noConversion"/>
  </si>
  <si>
    <t>- Publications et produits dérivés</t>
    <phoneticPr fontId="0" type="noConversion"/>
  </si>
  <si>
    <t>2.3. Charges liées à la recherche
de subventions et autres concours publics</t>
    <phoneticPr fontId="0" type="noConversion"/>
  </si>
  <si>
    <t>3. SUBVENTIONS ET AUTRES CONCOURS PUBLICS</t>
  </si>
  <si>
    <t>3 - FRAIS DE FONCTIONNEMENT</t>
  </si>
  <si>
    <t>ST3</t>
  </si>
  <si>
    <t>4. AUTRES PRODUITS</t>
  </si>
  <si>
    <t>Autres produits (droits auteurs, escapade, ...)</t>
    <phoneticPr fontId="0" type="noConversion"/>
  </si>
  <si>
    <t>Refacturations RSF International</t>
    <phoneticPr fontId="0" type="noConversion"/>
  </si>
  <si>
    <t>Montant des ressources collectées et utilisées sur l'exercice</t>
  </si>
  <si>
    <r>
      <rPr>
        <b/>
        <sz val="12"/>
        <rFont val="Calibri"/>
        <family val="2"/>
      </rPr>
      <t>T3</t>
    </r>
    <r>
      <rPr>
        <sz val="12"/>
        <rFont val="Calibri"/>
        <family val="2"/>
      </rPr>
      <t xml:space="preserve"> = ST1+ST2+ST3</t>
    </r>
  </si>
  <si>
    <t>Produits financiers, exceptionnels, année ant. Et transfert de charges</t>
    <phoneticPr fontId="0" type="noConversion"/>
  </si>
  <si>
    <t>I - TOTAL DES EMPLOIS DE L'EXERCICE INSCRITS AU COMPTE DE RESULTAT</t>
  </si>
  <si>
    <t>I - TOTAL DES RESSOURCES DE L'EXERCICE 
INSCRITES AU COMPTE DE RESULTAT</t>
  </si>
  <si>
    <t>II - DOTATIONS AUX PROVISIONS</t>
  </si>
  <si>
    <t>II - REPRISES DES PROVISIONS</t>
  </si>
  <si>
    <t>III - ENGAGEMENTS A REALISER SUR RESSOURCES AFFECTEES</t>
  </si>
  <si>
    <t>III - REPORT DES RESSOURCES AFFECTEES NON UTILISEES
DES EXERCICES ANTERIEURES</t>
  </si>
  <si>
    <t>IV - VARIATION DES FONDS DEDIES COLLECTES AUPRES DU PUBLIC</t>
  </si>
  <si>
    <t>T4</t>
  </si>
  <si>
    <t>IV - EXCEDENT DE RESSOURCES DE L'EXERCICE</t>
  </si>
  <si>
    <t>V - INSUFFISANCE DE RESSOURCES DE L'EXERCICE</t>
  </si>
  <si>
    <t>V - TOTAL GENERAL</t>
  </si>
  <si>
    <t>VI - TOTAL GENERAL</t>
  </si>
  <si>
    <t>=
T2+T4</t>
  </si>
  <si>
    <t>V - part des acquisitions d'immobilisations brutes de l'exercice financées par les ressources collectées auprès du public</t>
  </si>
  <si>
    <t>T5</t>
  </si>
  <si>
    <t>VI - neutralisation des dotations aux amortissements des immobilisations financées à compter de la première application du règlement par les ressources collectées auprès du public</t>
  </si>
  <si>
    <t>T5 bis</t>
  </si>
  <si>
    <t>VII - Total des emplois financés par les ressources collectées auprès du public</t>
  </si>
  <si>
    <r>
      <rPr>
        <b/>
        <sz val="12"/>
        <rFont val="Calibri"/>
        <family val="2"/>
      </rPr>
      <t xml:space="preserve">T6 
</t>
    </r>
    <r>
      <rPr>
        <sz val="12"/>
        <rFont val="Calibri"/>
        <family val="2"/>
      </rPr>
      <t>= T3+T5 -T5bis</t>
    </r>
  </si>
  <si>
    <t>VI - Total des emplois financés 
par les ressources collectées auprès du public</t>
  </si>
  <si>
    <t>= T6</t>
  </si>
  <si>
    <r>
      <t xml:space="preserve">Solde des ressources collectées auprès du public
</t>
    </r>
    <r>
      <rPr>
        <b/>
        <u/>
        <sz val="12"/>
        <rFont val="Calibri"/>
        <family val="2"/>
      </rPr>
      <t>non affectées</t>
    </r>
    <r>
      <rPr>
        <b/>
        <sz val="12"/>
        <rFont val="Calibri"/>
        <family val="2"/>
      </rPr>
      <t xml:space="preserve"> et </t>
    </r>
    <r>
      <rPr>
        <b/>
        <u/>
        <sz val="12"/>
        <rFont val="Calibri"/>
        <family val="2"/>
      </rPr>
      <t>non utilisées</t>
    </r>
    <r>
      <rPr>
        <b/>
        <sz val="12"/>
        <rFont val="Calibri"/>
        <family val="2"/>
      </rPr>
      <t xml:space="preserve"> en fin d'exercice</t>
    </r>
  </si>
  <si>
    <r>
      <rPr>
        <b/>
        <sz val="12"/>
        <rFont val="Calibri"/>
        <family val="2"/>
      </rPr>
      <t xml:space="preserve">T7 
</t>
    </r>
    <r>
      <rPr>
        <sz val="12"/>
        <rFont val="Calibri"/>
        <family val="2"/>
      </rPr>
      <t>= T1
+T2 +T4
-T6</t>
    </r>
  </si>
  <si>
    <t>EVALUATION DES CONTRIBUTIONS VOLONTAIRES EN NATURE</t>
  </si>
  <si>
    <t xml:space="preserve">Missions sociales </t>
  </si>
  <si>
    <t>Bénévolat</t>
  </si>
  <si>
    <t>non valorisé car NS</t>
    <phoneticPr fontId="0" type="noConversion"/>
  </si>
  <si>
    <t>Frais de recherche de fonds</t>
  </si>
  <si>
    <t>Prestations en nature</t>
  </si>
  <si>
    <t>Espaces gracieux</t>
    <phoneticPr fontId="0" type="noConversion"/>
  </si>
  <si>
    <t>Frais de fonctionnement et autres charges</t>
  </si>
  <si>
    <t>Dons en nature</t>
  </si>
  <si>
    <t>Total</t>
  </si>
  <si>
    <t>Check :</t>
    <phoneticPr fontId="0" type="noConversion"/>
  </si>
  <si>
    <t>EMPLOI</t>
    <phoneticPr fontId="0" type="noConversion"/>
  </si>
  <si>
    <t>en euros</t>
    <phoneticPr fontId="0" type="noConversion"/>
  </si>
  <si>
    <t>en %</t>
    <phoneticPr fontId="0" type="noConversion"/>
  </si>
  <si>
    <t>Mission sociale réalisée en France</t>
    <phoneticPr fontId="0" type="noConversion"/>
  </si>
  <si>
    <t>Mission sociale réalisée à l'étranger</t>
    <phoneticPr fontId="0" type="noConversion"/>
  </si>
  <si>
    <t>Frais de recherche de fonds</t>
    <phoneticPr fontId="0" type="noConversion"/>
  </si>
  <si>
    <t>Frais de fonctionnement</t>
    <phoneticPr fontId="0" type="noConversion"/>
  </si>
  <si>
    <t>Dotations aux provisions</t>
    <phoneticPr fontId="0" type="noConversion"/>
  </si>
  <si>
    <t>Excédent de ressources de l'exercice</t>
    <phoneticPr fontId="0" type="noConversion"/>
  </si>
  <si>
    <t>TOTAL</t>
    <phoneticPr fontId="0" type="noConversion"/>
  </si>
  <si>
    <t>RESSOURCES</t>
    <phoneticPr fontId="0" type="noConversion"/>
  </si>
  <si>
    <t>Ressources collectées aupres du public</t>
    <phoneticPr fontId="0" type="noConversion"/>
  </si>
  <si>
    <t>Autres Fonds privés : publications et pdts dérivés</t>
    <phoneticPr fontId="0" type="noConversion"/>
  </si>
  <si>
    <t>Autres Fonds privés : mécénat et fondations</t>
    <phoneticPr fontId="0" type="noConversion"/>
  </si>
  <si>
    <t>Autres Fonds privés : prix</t>
    <phoneticPr fontId="0" type="noConversion"/>
  </si>
  <si>
    <t>Autres Fonds privés : ventes aux enchères</t>
    <phoneticPr fontId="0" type="noConversion"/>
  </si>
  <si>
    <t>Subventions et autres concours publics</t>
    <phoneticPr fontId="0" type="noConversion"/>
  </si>
  <si>
    <t>Autres produits</t>
    <phoneticPr fontId="0" type="noConversion"/>
  </si>
  <si>
    <t>Reprises de provisions</t>
    <phoneticPr fontId="0" type="noConversion"/>
  </si>
  <si>
    <t>Insuffisance des ressources de l'exercice</t>
    <phoneticPr fontId="0" type="noConversion"/>
  </si>
  <si>
    <t>Sous total Autres fonds privés (dont Publications, Ventes aux enchères, Mécénat, Fondation, Prix)</t>
    <phoneticPr fontId="0" type="noConversion"/>
  </si>
  <si>
    <t>RESSOURCES HORS DEFICIT ET REPRISE DE PROV.</t>
    <phoneticPr fontId="0" type="noConversion"/>
  </si>
  <si>
    <t>GRAPH SIMPLIFIE</t>
    <phoneticPr fontId="0" type="noConversion"/>
  </si>
  <si>
    <t>Albums et produits dérivés</t>
    <phoneticPr fontId="0" type="noConversion"/>
  </si>
  <si>
    <t>Financements publics</t>
    <phoneticPr fontId="0" type="noConversion"/>
  </si>
  <si>
    <t>Financements privés, collecte gd public, prix et autres produits</t>
    <phoneticPr fontId="0" type="noConversion"/>
  </si>
  <si>
    <t>Mission sociale  &amp; fonctionnement</t>
  </si>
  <si>
    <t>commission ticket resto</t>
  </si>
  <si>
    <t>Impression mecenat</t>
  </si>
  <si>
    <t>Impot sur les b‚n‚fices</t>
  </si>
  <si>
    <t>CVAE</t>
  </si>
  <si>
    <t>% hors dot. Prov.</t>
  </si>
  <si>
    <t>Frais gestion distributeurs</t>
  </si>
  <si>
    <t>Fournitures administratives m‚c‚nat</t>
  </si>
  <si>
    <t>Location Communication</t>
  </si>
  <si>
    <t>Location Mat‚riel - Recherche</t>
  </si>
  <si>
    <t>Hebergement internet erena</t>
  </si>
  <si>
    <t>Hebergement internet collateral</t>
  </si>
  <si>
    <t>Entretien &amp; r‚p. Local Erena</t>
  </si>
  <si>
    <t>Maintenance - Com</t>
  </si>
  <si>
    <t>Maintenance - Bureaux</t>
  </si>
  <si>
    <t>Maintenance - Cap. Bulding</t>
  </si>
  <si>
    <t>Docs et Abo Techniques - Fundrais.</t>
  </si>
  <si>
    <t>Honoraires Expert-comptable Paie</t>
  </si>
  <si>
    <t>Honoraires Expert-comptable &amp; CAC</t>
  </si>
  <si>
    <t>Honoraires Social/RH</t>
  </si>
  <si>
    <t>Commissions sur ventes albums</t>
  </si>
  <si>
    <t>Commissions WAGRAM</t>
  </si>
  <si>
    <t>Frais de transport Communication</t>
  </si>
  <si>
    <t>Frais de r‚ception</t>
  </si>
  <si>
    <t>MA nø B760203</t>
  </si>
  <si>
    <t>T‚l‚phone - Recherche</t>
  </si>
  <si>
    <t>Lignes Fax/Alarme/Web conf</t>
  </si>
  <si>
    <t>Taxe sur les salaires</t>
  </si>
  <si>
    <t>Taxe bureau (erena)</t>
  </si>
  <si>
    <t>Sal. - Direction g‚n‚rale</t>
  </si>
  <si>
    <t>Sal. - Dir. Programmes</t>
  </si>
  <si>
    <t>Sal. - Rech. &amp; Public.</t>
  </si>
  <si>
    <t>Grat. Stg - Rech. &amp; Public.</t>
  </si>
  <si>
    <t>Sal. - Plaidoyer &amp; Instit.</t>
  </si>
  <si>
    <t>Grat. Stg - Plaidoyer &amp; Instit.</t>
  </si>
  <si>
    <t>Sal. - Sout. act. loc. &amp; coord. Pjt</t>
  </si>
  <si>
    <t>Sal. - Dvlt et affaires publiques</t>
  </si>
  <si>
    <t>Sal. - Com. &amp; Marketing</t>
  </si>
  <si>
    <t>Grat. Stg - Com. &amp; Marketing</t>
  </si>
  <si>
    <t>Sal. - Admin., finance &amp; RH</t>
  </si>
  <si>
    <t>Dot prov CP</t>
  </si>
  <si>
    <t>Dot. prov prime precarite</t>
  </si>
  <si>
    <t>Divers Indemn. soumises CS</t>
  </si>
  <si>
    <t>Divers Indemn. non soumises CS</t>
  </si>
  <si>
    <t>Indemn. transport - Stg + Sal.</t>
  </si>
  <si>
    <t>CS - Dir. Programmes</t>
  </si>
  <si>
    <t>CS - Recherche &amp; publications</t>
  </si>
  <si>
    <t>CS - Stg Rech. &amp; publications</t>
  </si>
  <si>
    <t>CS - Plaidoyer instit.</t>
  </si>
  <si>
    <t>CS - Stg Plaidoyer instit.</t>
  </si>
  <si>
    <t>CS - Sout. act. Loc. &amp; coord. Proj.</t>
  </si>
  <si>
    <t>CS - Devlt &amp; aff. publiques</t>
  </si>
  <si>
    <t>CS - Com &amp; marketing</t>
  </si>
  <si>
    <t>CS - Stg Com &amp; Marketing</t>
  </si>
  <si>
    <t>CS - Admin., Fin. et RH</t>
  </si>
  <si>
    <t>Cotisations AGESSA/MDA</t>
  </si>
  <si>
    <t>Tickets restaurants Belgique</t>
  </si>
  <si>
    <t>Droits auteurs - Recherche</t>
  </si>
  <si>
    <t>Droits auteurs - Communication</t>
  </si>
  <si>
    <t>Perte sur cr‚ance irr‚couvrable</t>
  </si>
  <si>
    <t>Subv. Bureau Tunis</t>
  </si>
  <si>
    <t>Subv. Bureau  Br‚sil</t>
  </si>
  <si>
    <t>Subv. Bureau UK</t>
  </si>
  <si>
    <t>Subv. Bureau Taipei</t>
  </si>
  <si>
    <t>Port soumis … 20%</t>
  </si>
  <si>
    <t>Port Intracom</t>
  </si>
  <si>
    <t>Port Export (et DOM-TOM pour LAD)</t>
  </si>
  <si>
    <t>Autres pdts act. annexes Recherche</t>
  </si>
  <si>
    <t>Autres pdts act. annexes Subvention</t>
  </si>
  <si>
    <t>Dons CEE avec RF</t>
  </si>
  <si>
    <t>Dons sans RF</t>
  </si>
  <si>
    <t>Transfert de charge Erena</t>
  </si>
  <si>
    <t>- Prix (prix reçus)</t>
  </si>
  <si>
    <t>BETC + JC Decaux</t>
  </si>
  <si>
    <t xml:space="preserve">Variation stock Mches </t>
  </si>
  <si>
    <t>Prestation services - Album</t>
  </si>
  <si>
    <t>Prestation services - Communication</t>
  </si>
  <si>
    <t>Prestation services - Recherche</t>
  </si>
  <si>
    <t>Prestation services - Mecenat</t>
  </si>
  <si>
    <t>Shopify - boutique en ligne</t>
  </si>
  <si>
    <t>Prest. services - Plaidoyer</t>
  </si>
  <si>
    <t>Prestation services - Cap B</t>
  </si>
  <si>
    <t>Prest. Representant RSF - Recherche</t>
  </si>
  <si>
    <t>Prest. services - Programmes</t>
  </si>
  <si>
    <t>Prest. Representant RSF - Bureaux</t>
  </si>
  <si>
    <t>Prest. services - Assistance</t>
  </si>
  <si>
    <t>Prest. services - Bureaux</t>
  </si>
  <si>
    <t>Travaux d'impression, pubø - FG</t>
  </si>
  <si>
    <t>Impression - Cap B</t>
  </si>
  <si>
    <t>Petits ‚quipements Album</t>
  </si>
  <si>
    <t>Petits equipements Programmes</t>
  </si>
  <si>
    <t>Petits ‚quipements Assistance</t>
  </si>
  <si>
    <t>Fournitures hygiŠne - FG</t>
  </si>
  <si>
    <t>Fournitures hygiŠne - Assistance</t>
  </si>
  <si>
    <t>Fournitures administratives FG</t>
  </si>
  <si>
    <t>Locations diverses</t>
  </si>
  <si>
    <t>Hebergement serveurs - FG</t>
  </si>
  <si>
    <t>Location voiture com</t>
  </si>
  <si>
    <t>Maintenance - FG</t>
  </si>
  <si>
    <t>Assurances - FG</t>
  </si>
  <si>
    <t>Assurances - Recherche</t>
  </si>
  <si>
    <t>Assurances - Erena</t>
  </si>
  <si>
    <t>Assurances - Communication</t>
  </si>
  <si>
    <t>Assurances - Bureaux</t>
  </si>
  <si>
    <t>Assurances - Programme</t>
  </si>
  <si>
    <t>Assurances - Plaidoyer</t>
  </si>
  <si>
    <t xml:space="preserve">Assurance - Cap. Bulding </t>
  </si>
  <si>
    <t>Frais s‚minaires, conf. - COM</t>
  </si>
  <si>
    <t>Honoraires trad - Com.</t>
  </si>
  <si>
    <t>Honoraires trad - Mecenat</t>
  </si>
  <si>
    <t>Honoraires juridiques - FG</t>
  </si>
  <si>
    <t>Honoraires trad  - Recherche</t>
  </si>
  <si>
    <t>Honoraires - Assistance</t>
  </si>
  <si>
    <t>Honoraires Trad - Plaidoyer</t>
  </si>
  <si>
    <t>Honoraires divers - FG</t>
  </si>
  <si>
    <t>Honoraires divers - Bureaux</t>
  </si>
  <si>
    <t>Honoraires divers - Plaidoyer</t>
  </si>
  <si>
    <t>Commissions sur publicit‚</t>
  </si>
  <si>
    <t>Annonces et insersion - RH</t>
  </si>
  <si>
    <t>Forums et Expo - Com</t>
  </si>
  <si>
    <t>Cadeaux - FG</t>
  </si>
  <si>
    <t>cadeaux salaries - RH</t>
  </si>
  <si>
    <t>Cadeaux - Recherche</t>
  </si>
  <si>
    <t>Cadeaux -Album</t>
  </si>
  <si>
    <t>Cadeaux - Mecenat</t>
  </si>
  <si>
    <t>Divers (pourboires, dons courants)</t>
  </si>
  <si>
    <t>Coursiers - Album</t>
  </si>
  <si>
    <t>Coursiers - Com.</t>
  </si>
  <si>
    <t>Frais de repas structure - FG</t>
  </si>
  <si>
    <t>Frais de repas - Communication</t>
  </si>
  <si>
    <t>Frais de repas - Repr‚sentation FG</t>
  </si>
  <si>
    <t>Frais de repas - Programmes</t>
  </si>
  <si>
    <t>Frais de repas - CapB</t>
  </si>
  <si>
    <t>Frais de repas - Plaidoyer</t>
  </si>
  <si>
    <t>Frais repas - Bureaux</t>
  </si>
  <si>
    <t>Frais de repas - Assistance</t>
  </si>
  <si>
    <t>Deplacements structure/ representat</t>
  </si>
  <si>
    <t>Deplacements - Album</t>
  </si>
  <si>
    <t>Deplacement - Recherche</t>
  </si>
  <si>
    <t>Deplacements - Mecenat</t>
  </si>
  <si>
    <t>D‚placements - FG Admin</t>
  </si>
  <si>
    <t>D‚placements - Communication</t>
  </si>
  <si>
    <t>Deplacements - Assistance</t>
  </si>
  <si>
    <t>Deplacements - Bureaux</t>
  </si>
  <si>
    <t>Deplacements - Programmes</t>
  </si>
  <si>
    <t>Deplacements - CapB</t>
  </si>
  <si>
    <t>Deplacements - Plaidoyer</t>
  </si>
  <si>
    <t>Frais de s‚jour - Mecenat</t>
  </si>
  <si>
    <t>frais de s‚jour - FG</t>
  </si>
  <si>
    <t>Frais de sejour - Recherche</t>
  </si>
  <si>
    <t>Frais de sejour - Capt B</t>
  </si>
  <si>
    <t>Frais de sejour - Communication</t>
  </si>
  <si>
    <t>Frais de sejour - Mecenat</t>
  </si>
  <si>
    <t>Frais de sejour - Programme</t>
  </si>
  <si>
    <t>Frais de sejour - Plaidoyer</t>
  </si>
  <si>
    <t>Frais de s‚jour - Assistance</t>
  </si>
  <si>
    <t>courrier adherents &amp; mecenat</t>
  </si>
  <si>
    <t>Colissimo - La poste</t>
  </si>
  <si>
    <t>Frais Exp‚dition Presse ecoles</t>
  </si>
  <si>
    <t>Frais de poste Programmes</t>
  </si>
  <si>
    <t>T‚l‚phone - Programmes</t>
  </si>
  <si>
    <t xml:space="preserve">Lignes internet/ IP </t>
  </si>
  <si>
    <t>EnlŠvement de d‚chets</t>
  </si>
  <si>
    <t>Gratifications Service Civique</t>
  </si>
  <si>
    <t>Sal. Piges - Albums</t>
  </si>
  <si>
    <t>CS - Direction g‚n‚rale / URSSAF</t>
  </si>
  <si>
    <t>CS - Piges Albums</t>
  </si>
  <si>
    <t>Autres charges de personnel</t>
  </si>
  <si>
    <t>Redev. lic. /Nom domaine - Com</t>
  </si>
  <si>
    <t>Redev. lic. / Nom domaine - Program</t>
  </si>
  <si>
    <t>Redev. lic. /Nom domaine - FG</t>
  </si>
  <si>
    <t>Subv. Bureau Dakar</t>
  </si>
  <si>
    <t>Creances devenues Irrec. dans l'ex.</t>
  </si>
  <si>
    <t>VCEAC - Immos corporelles</t>
  </si>
  <si>
    <t>DAP Immo incorporelles</t>
  </si>
  <si>
    <t>Dot prov p risques et charges</t>
  </si>
  <si>
    <t>ventes aux encheres</t>
  </si>
  <si>
    <t>Legs</t>
  </si>
  <si>
    <t>M‚c‚nat entreprises fr (RF)</t>
  </si>
  <si>
    <t>PCEA - Immos corporelles</t>
  </si>
  <si>
    <t>reprise prov clients</t>
  </si>
  <si>
    <t>Reprise Pov. &amp; D‚p. Immo. Fi</t>
  </si>
  <si>
    <t>RECLASSEMENT</t>
  </si>
  <si>
    <t>- Mécénat et Fondations</t>
  </si>
  <si>
    <t xml:space="preserve"> - dons manuels NON affectés (dont cotisations)</t>
  </si>
  <si>
    <t>Produits financiers, exceptionnels, année ant. Et transfert de charges</t>
  </si>
  <si>
    <t>- Publications et produits dérivés</t>
  </si>
  <si>
    <t>Autres produits (droits auteurs, escapade, ...)</t>
  </si>
  <si>
    <t>- Ventes aux enchères</t>
  </si>
  <si>
    <t>COMPTE D'EMPLOI DES RESSOURCES REPORTERS SANS FRONTIERES 2019</t>
  </si>
  <si>
    <t>EMPLOIS de 2019
=
compte de résultat
(1)</t>
  </si>
  <si>
    <t>Affectation par emplois des ressources collectées auprès du public, utilisées en 2019
(3)</t>
  </si>
  <si>
    <t>Refacturations RSF International</t>
  </si>
  <si>
    <t>Étiquettes de lignes</t>
  </si>
  <si>
    <t>Total général</t>
  </si>
  <si>
    <t>Somme de Solde €</t>
  </si>
  <si>
    <t>Mission sociale Sensibilisation</t>
    <phoneticPr fontId="0" type="noConversion"/>
  </si>
  <si>
    <t>N/A</t>
    <phoneticPr fontId="0" type="noConversion"/>
  </si>
  <si>
    <t>Mission sociale Assistance (Etranger uniquement)</t>
    <phoneticPr fontId="0" type="noConversion"/>
  </si>
  <si>
    <t>% masse salariale</t>
    <phoneticPr fontId="0" type="noConversion"/>
  </si>
  <si>
    <t>Couts de collecte (AGP)</t>
    <phoneticPr fontId="0" type="noConversion"/>
  </si>
  <si>
    <t>Fonctionnement</t>
    <phoneticPr fontId="0" type="noConversion"/>
  </si>
  <si>
    <t>Missions sociales (Sensibilisation) Etranger = réalisée par RSF Inter ou Bureaux</t>
    <phoneticPr fontId="0" type="noConversion"/>
  </si>
  <si>
    <t>RESSOURCES COLLECTEES sur 2019
=
compte de résultat
(2)</t>
  </si>
  <si>
    <t>Suivi des ressources collectées auprès du public et utilisées sur 2019
(4)</t>
  </si>
  <si>
    <t>Autres Charges financiäres</t>
  </si>
  <si>
    <t>Dotation Prov. R &amp; C d'exploitation</t>
  </si>
  <si>
    <t>BG mise à jour le 30/06/2020</t>
  </si>
  <si>
    <t>Voir répartition sur Tableau effectif pour CER 2019</t>
  </si>
  <si>
    <t>Mission sociale Assistance (Etranger uniquement)</t>
  </si>
  <si>
    <t>Missions sociales (Sensibilisation) Etranger = réalisée par RSF Inter ou Bureaux</t>
  </si>
  <si>
    <t>Expenditures of Funds</t>
  </si>
  <si>
    <t>Sources of Funds</t>
  </si>
  <si>
    <t>Mission and mandate</t>
  </si>
  <si>
    <t>Fundraising</t>
  </si>
  <si>
    <t>Overhead costs</t>
  </si>
  <si>
    <t>Provisions</t>
  </si>
  <si>
    <t>Surplus of resources from 2018</t>
  </si>
  <si>
    <t>State sector grants</t>
  </si>
  <si>
    <t>Commercial activity</t>
  </si>
  <si>
    <t>General public</t>
  </si>
  <si>
    <t>Foundations and private sector</t>
  </si>
  <si>
    <t>Other incomes</t>
  </si>
  <si>
    <t>Auctions</t>
  </si>
  <si>
    <t>Reversal of 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</si>
</sst>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_€_ ;_ * \(#,##0.00\)\ _€_ ;_ * &quot;-&quot;??_)\ _€_ ;_ @_ "/>
    <numFmt numFmtId="165" formatCode="0.0%"/>
  </numFmts>
  <fonts count="3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u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i/>
      <sz val="12"/>
      <name val="Calibri"/>
      <family val="2"/>
    </font>
    <font>
      <sz val="10"/>
      <name val="MS Sans Serif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8" fillId="0" borderId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297">
    <xf numFmtId="0" fontId="0" fillId="0" borderId="0" xfId="0"/>
    <xf numFmtId="0" fontId="4" fillId="2" borderId="0" xfId="3" applyFont="1" applyFill="1"/>
    <xf numFmtId="0" fontId="5" fillId="2" borderId="0" xfId="3" applyFont="1" applyFill="1"/>
    <xf numFmtId="3" fontId="6" fillId="2" borderId="0" xfId="3" applyNumberFormat="1" applyFont="1" applyFill="1" applyBorder="1"/>
    <xf numFmtId="4" fontId="5" fillId="2" borderId="0" xfId="3" applyNumberFormat="1" applyFont="1" applyFill="1"/>
    <xf numFmtId="0" fontId="3" fillId="2" borderId="0" xfId="3" applyFill="1" applyProtection="1">
      <protection locked="0"/>
    </xf>
    <xf numFmtId="0" fontId="6" fillId="3" borderId="0" xfId="3" applyFont="1" applyFill="1"/>
    <xf numFmtId="0" fontId="6" fillId="4" borderId="0" xfId="3" applyFont="1" applyFill="1"/>
    <xf numFmtId="0" fontId="6" fillId="5" borderId="0" xfId="3" applyFont="1" applyFill="1"/>
    <xf numFmtId="0" fontId="6" fillId="6" borderId="0" xfId="3" applyFont="1" applyFill="1"/>
    <xf numFmtId="0" fontId="7" fillId="7" borderId="0" xfId="3" applyFont="1" applyFill="1"/>
    <xf numFmtId="0" fontId="6" fillId="8" borderId="0" xfId="3" applyFont="1" applyFill="1"/>
    <xf numFmtId="0" fontId="6" fillId="9" borderId="0" xfId="3" applyFont="1" applyFill="1"/>
    <xf numFmtId="4" fontId="5" fillId="2" borderId="0" xfId="3" quotePrefix="1" applyNumberFormat="1" applyFont="1" applyFill="1"/>
    <xf numFmtId="0" fontId="6" fillId="10" borderId="0" xfId="3" applyFont="1" applyFill="1"/>
    <xf numFmtId="0" fontId="6" fillId="2" borderId="0" xfId="3" applyFont="1" applyFill="1"/>
    <xf numFmtId="0" fontId="8" fillId="2" borderId="0" xfId="3" applyFont="1" applyFill="1"/>
    <xf numFmtId="0" fontId="9" fillId="2" borderId="0" xfId="3" applyFont="1" applyFill="1"/>
    <xf numFmtId="4" fontId="8" fillId="2" borderId="0" xfId="3" applyNumberFormat="1" applyFont="1" applyFill="1" applyBorder="1"/>
    <xf numFmtId="0" fontId="9" fillId="2" borderId="0" xfId="3" applyFont="1" applyFill="1" applyAlignment="1">
      <alignment horizontal="center" vertical="center"/>
    </xf>
    <xf numFmtId="0" fontId="10" fillId="2" borderId="0" xfId="3" applyFont="1" applyFill="1"/>
    <xf numFmtId="0" fontId="11" fillId="2" borderId="0" xfId="3" applyFont="1" applyFill="1"/>
    <xf numFmtId="0" fontId="10" fillId="2" borderId="0" xfId="3" applyFont="1" applyFill="1" applyBorder="1"/>
    <xf numFmtId="0" fontId="11" fillId="2" borderId="0" xfId="3" applyFont="1" applyFill="1" applyAlignment="1">
      <alignment horizontal="center" vertical="center"/>
    </xf>
    <xf numFmtId="0" fontId="7" fillId="2" borderId="0" xfId="3" applyFont="1" applyFill="1" applyProtection="1">
      <protection locked="0"/>
    </xf>
    <xf numFmtId="0" fontId="8" fillId="11" borderId="0" xfId="3" applyFont="1" applyFill="1"/>
    <xf numFmtId="0" fontId="9" fillId="11" borderId="0" xfId="3" applyFont="1" applyFill="1"/>
    <xf numFmtId="4" fontId="8" fillId="11" borderId="0" xfId="3" applyNumberFormat="1" applyFont="1" applyFill="1" applyBorder="1"/>
    <xf numFmtId="0" fontId="9" fillId="11" borderId="0" xfId="3" applyFont="1" applyFill="1" applyAlignment="1">
      <alignment horizontal="center" vertical="center"/>
    </xf>
    <xf numFmtId="0" fontId="10" fillId="12" borderId="0" xfId="3" applyFont="1" applyFill="1"/>
    <xf numFmtId="0" fontId="11" fillId="12" borderId="0" xfId="3" applyFont="1" applyFill="1"/>
    <xf numFmtId="4" fontId="10" fillId="12" borderId="0" xfId="3" applyNumberFormat="1" applyFont="1" applyFill="1" applyBorder="1" applyAlignment="1">
      <alignment horizontal="center"/>
    </xf>
    <xf numFmtId="0" fontId="11" fillId="12" borderId="0" xfId="3" applyFont="1" applyFill="1" applyAlignment="1">
      <alignment horizontal="center" vertical="center"/>
    </xf>
    <xf numFmtId="0" fontId="12" fillId="2" borderId="0" xfId="3" applyFont="1" applyFill="1" applyProtection="1">
      <protection locked="0"/>
    </xf>
    <xf numFmtId="4" fontId="7" fillId="2" borderId="0" xfId="3" applyNumberFormat="1" applyFont="1" applyFill="1" applyBorder="1"/>
    <xf numFmtId="0" fontId="5" fillId="6" borderId="0" xfId="3" applyFont="1" applyFill="1"/>
    <xf numFmtId="0" fontId="5" fillId="4" borderId="0" xfId="3" applyFont="1" applyFill="1"/>
    <xf numFmtId="0" fontId="12" fillId="2" borderId="0" xfId="3" applyFont="1" applyFill="1" applyAlignment="1" applyProtection="1">
      <alignment vertical="center"/>
      <protection locked="0"/>
    </xf>
    <xf numFmtId="0" fontId="12" fillId="2" borderId="0" xfId="3" applyFont="1" applyFill="1" applyAlignment="1" applyProtection="1">
      <alignment vertical="center" wrapText="1"/>
      <protection locked="0"/>
    </xf>
    <xf numFmtId="4" fontId="7" fillId="2" borderId="0" xfId="3" applyNumberFormat="1" applyFont="1" applyFill="1" applyBorder="1" applyProtection="1">
      <protection locked="0"/>
    </xf>
    <xf numFmtId="4" fontId="7" fillId="2" borderId="0" xfId="3" applyNumberFormat="1" applyFont="1" applyFill="1" applyProtection="1">
      <protection locked="0"/>
    </xf>
    <xf numFmtId="0" fontId="3" fillId="2" borderId="0" xfId="3" applyFill="1"/>
    <xf numFmtId="0" fontId="5" fillId="13" borderId="0" xfId="3" applyFont="1" applyFill="1"/>
    <xf numFmtId="0" fontId="5" fillId="14" borderId="0" xfId="3" applyFont="1" applyFill="1"/>
    <xf numFmtId="0" fontId="5" fillId="15" borderId="0" xfId="3" applyFont="1" applyFill="1"/>
    <xf numFmtId="0" fontId="3" fillId="12" borderId="0" xfId="3" applyFill="1"/>
    <xf numFmtId="0" fontId="5" fillId="16" borderId="0" xfId="3" applyFont="1" applyFill="1"/>
    <xf numFmtId="4" fontId="9" fillId="11" borderId="0" xfId="3" applyNumberFormat="1" applyFont="1" applyFill="1"/>
    <xf numFmtId="0" fontId="11" fillId="12" borderId="0" xfId="3" applyFont="1" applyFill="1" applyAlignment="1">
      <alignment horizontal="left"/>
    </xf>
    <xf numFmtId="4" fontId="11" fillId="12" borderId="0" xfId="3" applyNumberFormat="1" applyFont="1" applyFill="1" applyAlignment="1">
      <alignment horizontal="center"/>
    </xf>
    <xf numFmtId="0" fontId="12" fillId="2" borderId="0" xfId="3" applyFont="1" applyFill="1" applyBorder="1" applyAlignment="1" applyProtection="1">
      <alignment horizontal="left" vertical="center" wrapText="1"/>
      <protection locked="0"/>
    </xf>
    <xf numFmtId="0" fontId="12" fillId="2" borderId="0" xfId="3" applyFont="1" applyFill="1" applyAlignment="1">
      <alignment vertical="center" wrapText="1"/>
    </xf>
    <xf numFmtId="0" fontId="5" fillId="2" borderId="0" xfId="3" applyFont="1" applyFill="1" applyAlignment="1">
      <alignment vertical="center" wrapText="1"/>
    </xf>
    <xf numFmtId="4" fontId="5" fillId="2" borderId="0" xfId="3" applyNumberFormat="1" applyFont="1" applyFill="1" applyAlignment="1">
      <alignment vertical="center" wrapText="1"/>
    </xf>
    <xf numFmtId="0" fontId="12" fillId="2" borderId="0" xfId="3" applyFont="1" applyFill="1" applyAlignment="1">
      <alignment horizontal="left"/>
    </xf>
    <xf numFmtId="0" fontId="12" fillId="2" borderId="0" xfId="3" applyFont="1" applyFill="1"/>
    <xf numFmtId="4" fontId="12" fillId="2" borderId="0" xfId="3" applyNumberFormat="1" applyFont="1" applyFill="1"/>
    <xf numFmtId="0" fontId="5" fillId="2" borderId="0" xfId="3" applyFont="1" applyFill="1" applyAlignment="1">
      <alignment horizontal="left"/>
    </xf>
    <xf numFmtId="0" fontId="13" fillId="2" borderId="0" xfId="3" applyFont="1" applyFill="1"/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3" fontId="14" fillId="0" borderId="0" xfId="3" applyNumberFormat="1" applyFont="1" applyAlignment="1">
      <alignment vertical="center"/>
    </xf>
    <xf numFmtId="0" fontId="15" fillId="16" borderId="2" xfId="3" applyFont="1" applyFill="1" applyBorder="1" applyAlignment="1">
      <alignment horizontal="centerContinuous" vertical="center"/>
    </xf>
    <xf numFmtId="0" fontId="15" fillId="16" borderId="3" xfId="3" applyFont="1" applyFill="1" applyBorder="1" applyAlignment="1">
      <alignment horizontal="centerContinuous" vertical="center"/>
    </xf>
    <xf numFmtId="3" fontId="15" fillId="16" borderId="3" xfId="3" applyNumberFormat="1" applyFont="1" applyFill="1" applyBorder="1" applyAlignment="1">
      <alignment horizontal="centerContinuous" vertical="center"/>
    </xf>
    <xf numFmtId="0" fontId="15" fillId="16" borderId="4" xfId="3" applyFont="1" applyFill="1" applyBorder="1" applyAlignment="1">
      <alignment horizontal="centerContinuous" vertical="center"/>
    </xf>
    <xf numFmtId="0" fontId="15" fillId="0" borderId="0" xfId="3" applyFont="1" applyFill="1" applyBorder="1" applyAlignment="1">
      <alignment horizontal="centerContinuous" vertical="center"/>
    </xf>
    <xf numFmtId="3" fontId="15" fillId="0" borderId="0" xfId="3" applyNumberFormat="1" applyFont="1" applyFill="1" applyBorder="1" applyAlignment="1">
      <alignment horizontal="centerContinuous" vertical="center"/>
    </xf>
    <xf numFmtId="49" fontId="14" fillId="0" borderId="0" xfId="3" applyNumberFormat="1" applyFont="1" applyFill="1" applyAlignment="1">
      <alignment vertical="center"/>
    </xf>
    <xf numFmtId="49" fontId="15" fillId="0" borderId="5" xfId="3" applyNumberFormat="1" applyFont="1" applyFill="1" applyBorder="1" applyAlignment="1">
      <alignment horizontal="centerContinuous" vertical="center"/>
    </xf>
    <xf numFmtId="49" fontId="14" fillId="0" borderId="6" xfId="3" applyNumberFormat="1" applyFont="1" applyFill="1" applyBorder="1" applyAlignment="1">
      <alignment horizontal="centerContinuous" vertical="center"/>
    </xf>
    <xf numFmtId="49" fontId="15" fillId="0" borderId="2" xfId="3" applyNumberFormat="1" applyFont="1" applyFill="1" applyBorder="1" applyAlignment="1">
      <alignment horizontal="centerContinuous" vertical="center"/>
    </xf>
    <xf numFmtId="49" fontId="14" fillId="0" borderId="3" xfId="3" applyNumberFormat="1" applyFont="1" applyFill="1" applyBorder="1" applyAlignment="1">
      <alignment horizontal="centerContinuous" vertical="center"/>
    </xf>
    <xf numFmtId="3" fontId="15" fillId="0" borderId="7" xfId="3" applyNumberFormat="1" applyFont="1" applyFill="1" applyBorder="1" applyAlignment="1">
      <alignment horizontal="center" vertical="center" wrapText="1"/>
    </xf>
    <xf numFmtId="49" fontId="14" fillId="0" borderId="4" xfId="3" applyNumberFormat="1" applyFont="1" applyFill="1" applyBorder="1" applyAlignment="1">
      <alignment horizontal="centerContinuous" vertical="center"/>
    </xf>
    <xf numFmtId="3" fontId="15" fillId="0" borderId="9" xfId="3" applyNumberFormat="1" applyFont="1" applyFill="1" applyBorder="1" applyAlignment="1">
      <alignment horizontal="center" vertical="center" wrapText="1"/>
    </xf>
    <xf numFmtId="49" fontId="14" fillId="0" borderId="10" xfId="3" applyNumberFormat="1" applyFont="1" applyFill="1" applyBorder="1" applyAlignment="1">
      <alignment horizontal="centerContinuous" vertical="center"/>
    </xf>
    <xf numFmtId="49" fontId="14" fillId="0" borderId="0" xfId="3" applyNumberFormat="1" applyFont="1" applyAlignment="1">
      <alignment vertical="center"/>
    </xf>
    <xf numFmtId="0" fontId="14" fillId="0" borderId="5" xfId="3" applyFont="1" applyFill="1" applyBorder="1" applyAlignment="1">
      <alignment vertical="center"/>
    </xf>
    <xf numFmtId="3" fontId="15" fillId="0" borderId="6" xfId="3" applyNumberFormat="1" applyFont="1" applyFill="1" applyBorder="1" applyAlignment="1">
      <alignment vertical="center"/>
    </xf>
    <xf numFmtId="3" fontId="15" fillId="0" borderId="11" xfId="3" applyNumberFormat="1" applyFont="1" applyFill="1" applyBorder="1" applyAlignment="1">
      <alignment vertical="center"/>
    </xf>
    <xf numFmtId="4" fontId="14" fillId="0" borderId="10" xfId="3" applyNumberFormat="1" applyFont="1" applyFill="1" applyBorder="1" applyAlignment="1">
      <alignment vertical="center"/>
    </xf>
    <xf numFmtId="0" fontId="14" fillId="0" borderId="6" xfId="3" applyFont="1" applyFill="1" applyBorder="1" applyAlignment="1">
      <alignment vertical="center"/>
    </xf>
    <xf numFmtId="3" fontId="14" fillId="0" borderId="6" xfId="3" applyNumberFormat="1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3" fontId="15" fillId="1" borderId="12" xfId="3" applyNumberFormat="1" applyFont="1" applyFill="1" applyBorder="1" applyAlignment="1">
      <alignment vertical="center"/>
    </xf>
    <xf numFmtId="3" fontId="15" fillId="1" borderId="13" xfId="3" applyNumberFormat="1" applyFont="1" applyFill="1" applyBorder="1" applyAlignment="1">
      <alignment vertical="center"/>
    </xf>
    <xf numFmtId="3" fontId="15" fillId="1" borderId="14" xfId="3" applyNumberFormat="1" applyFont="1" applyFill="1" applyBorder="1" applyAlignment="1">
      <alignment vertical="center"/>
    </xf>
    <xf numFmtId="3" fontId="15" fillId="1" borderId="14" xfId="3" applyNumberFormat="1" applyFont="1" applyFill="1" applyBorder="1" applyAlignment="1">
      <alignment horizontal="center" vertical="center" wrapText="1"/>
    </xf>
    <xf numFmtId="3" fontId="15" fillId="1" borderId="15" xfId="3" applyNumberFormat="1" applyFont="1" applyFill="1" applyBorder="1" applyAlignment="1">
      <alignment vertical="center"/>
    </xf>
    <xf numFmtId="0" fontId="14" fillId="0" borderId="12" xfId="3" applyFont="1" applyBorder="1" applyAlignment="1">
      <alignment vertical="center"/>
    </xf>
    <xf numFmtId="0" fontId="14" fillId="0" borderId="13" xfId="3" applyFont="1" applyBorder="1" applyAlignment="1">
      <alignment vertical="center"/>
    </xf>
    <xf numFmtId="3" fontId="15" fillId="0" borderId="14" xfId="3" applyNumberFormat="1" applyFont="1" applyFill="1" applyBorder="1" applyAlignment="1">
      <alignment vertical="center"/>
    </xf>
    <xf numFmtId="0" fontId="15" fillId="0" borderId="15" xfId="3" applyFont="1" applyBorder="1" applyAlignment="1">
      <alignment horizontal="center" vertical="center"/>
    </xf>
    <xf numFmtId="0" fontId="14" fillId="0" borderId="16" xfId="3" applyFont="1" applyFill="1" applyBorder="1" applyAlignment="1">
      <alignment vertical="center"/>
    </xf>
    <xf numFmtId="3" fontId="15" fillId="0" borderId="1" xfId="3" applyNumberFormat="1" applyFont="1" applyFill="1" applyBorder="1" applyAlignment="1">
      <alignment vertical="center"/>
    </xf>
    <xf numFmtId="3" fontId="15" fillId="0" borderId="17" xfId="3" applyNumberFormat="1" applyFont="1" applyFill="1" applyBorder="1" applyAlignment="1">
      <alignment vertical="center"/>
    </xf>
    <xf numFmtId="4" fontId="14" fillId="0" borderId="18" xfId="3" applyNumberFormat="1" applyFont="1" applyFill="1" applyBorder="1" applyAlignment="1">
      <alignment vertical="center"/>
    </xf>
    <xf numFmtId="0" fontId="14" fillId="0" borderId="19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3" fontId="14" fillId="0" borderId="20" xfId="3" applyNumberFormat="1" applyFont="1" applyFill="1" applyBorder="1" applyAlignment="1">
      <alignment vertical="center"/>
    </xf>
    <xf numFmtId="0" fontId="14" fillId="0" borderId="21" xfId="3" applyFont="1" applyFill="1" applyBorder="1" applyAlignment="1">
      <alignment vertical="center"/>
    </xf>
    <xf numFmtId="0" fontId="14" fillId="0" borderId="19" xfId="3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0" fontId="14" fillId="0" borderId="0" xfId="3" applyFont="1" applyBorder="1" applyAlignment="1">
      <alignment vertical="center"/>
    </xf>
    <xf numFmtId="3" fontId="15" fillId="0" borderId="20" xfId="3" applyNumberFormat="1" applyFont="1" applyFill="1" applyBorder="1" applyAlignment="1">
      <alignment vertical="center"/>
    </xf>
    <xf numFmtId="4" fontId="15" fillId="0" borderId="21" xfId="3" applyNumberFormat="1" applyFont="1" applyBorder="1" applyAlignment="1">
      <alignment horizontal="center" vertical="center"/>
    </xf>
    <xf numFmtId="0" fontId="15" fillId="0" borderId="21" xfId="3" applyFont="1" applyBorder="1" applyAlignment="1">
      <alignment horizontal="center" vertical="center"/>
    </xf>
    <xf numFmtId="4" fontId="14" fillId="0" borderId="0" xfId="3" applyNumberFormat="1" applyFont="1" applyAlignment="1">
      <alignment vertical="center"/>
    </xf>
    <xf numFmtId="0" fontId="14" fillId="0" borderId="0" xfId="3" applyFont="1" applyBorder="1" applyAlignment="1">
      <alignment horizontal="right" vertical="center"/>
    </xf>
    <xf numFmtId="0" fontId="14" fillId="0" borderId="20" xfId="3" applyFont="1" applyBorder="1" applyAlignment="1">
      <alignment vertical="center"/>
    </xf>
    <xf numFmtId="4" fontId="14" fillId="0" borderId="21" xfId="3" applyNumberFormat="1" applyFont="1" applyBorder="1" applyAlignment="1">
      <alignment vertical="center"/>
    </xf>
    <xf numFmtId="0" fontId="14" fillId="0" borderId="21" xfId="3" applyFont="1" applyBorder="1" applyAlignment="1">
      <alignment vertical="center"/>
    </xf>
    <xf numFmtId="0" fontId="14" fillId="0" borderId="0" xfId="3" quotePrefix="1" applyFont="1" applyFill="1" applyBorder="1" applyAlignment="1">
      <alignment vertical="center"/>
    </xf>
    <xf numFmtId="3" fontId="15" fillId="0" borderId="0" xfId="3" applyNumberFormat="1" applyFont="1" applyFill="1" applyBorder="1" applyAlignment="1">
      <alignment vertical="center"/>
    </xf>
    <xf numFmtId="4" fontId="15" fillId="0" borderId="0" xfId="3" quotePrefix="1" applyNumberFormat="1" applyFont="1" applyBorder="1" applyAlignment="1">
      <alignment vertical="center"/>
    </xf>
    <xf numFmtId="3" fontId="14" fillId="17" borderId="20" xfId="3" applyNumberFormat="1" applyFont="1" applyFill="1" applyBorder="1" applyAlignment="1">
      <alignment vertical="center"/>
    </xf>
    <xf numFmtId="0" fontId="14" fillId="0" borderId="0" xfId="3" quotePrefix="1" applyFont="1" applyBorder="1" applyAlignment="1">
      <alignment vertical="center"/>
    </xf>
    <xf numFmtId="3" fontId="14" fillId="0" borderId="0" xfId="3" applyNumberFormat="1" applyFont="1" applyFill="1" applyBorder="1" applyAlignment="1">
      <alignment vertical="center"/>
    </xf>
    <xf numFmtId="0" fontId="14" fillId="0" borderId="19" xfId="3" quotePrefix="1" applyFont="1" applyBorder="1" applyAlignment="1">
      <alignment vertical="center" textRotation="180"/>
    </xf>
    <xf numFmtId="4" fontId="14" fillId="0" borderId="0" xfId="3" applyNumberFormat="1" applyFont="1" applyBorder="1" applyAlignment="1">
      <alignment vertical="center"/>
    </xf>
    <xf numFmtId="3" fontId="15" fillId="17" borderId="20" xfId="3" applyNumberFormat="1" applyFont="1" applyFill="1" applyBorder="1" applyAlignment="1">
      <alignment vertical="center"/>
    </xf>
    <xf numFmtId="0" fontId="17" fillId="0" borderId="0" xfId="3" applyFont="1" applyBorder="1" applyAlignment="1">
      <alignment vertical="center"/>
    </xf>
    <xf numFmtId="4" fontId="15" fillId="0" borderId="0" xfId="3" applyNumberFormat="1" applyFont="1" applyBorder="1" applyAlignment="1">
      <alignment vertical="center"/>
    </xf>
    <xf numFmtId="3" fontId="14" fillId="0" borderId="22" xfId="3" applyNumberFormat="1" applyFont="1" applyFill="1" applyBorder="1" applyAlignment="1">
      <alignment vertical="center"/>
    </xf>
    <xf numFmtId="0" fontId="14" fillId="0" borderId="0" xfId="3" quotePrefix="1" applyFont="1" applyFill="1" applyBorder="1" applyAlignment="1">
      <alignment horizontal="left" vertical="center"/>
    </xf>
    <xf numFmtId="0" fontId="15" fillId="0" borderId="0" xfId="3" quotePrefix="1" applyFont="1" applyBorder="1" applyAlignment="1">
      <alignment vertical="center"/>
    </xf>
    <xf numFmtId="0" fontId="14" fillId="0" borderId="0" xfId="3" applyFont="1" applyFill="1" applyBorder="1" applyAlignment="1">
      <alignment horizontal="right" vertical="center"/>
    </xf>
    <xf numFmtId="4" fontId="14" fillId="0" borderId="0" xfId="3" applyNumberFormat="1" applyFont="1" applyFill="1" applyBorder="1" applyAlignment="1">
      <alignment vertical="center"/>
    </xf>
    <xf numFmtId="4" fontId="15" fillId="0" borderId="0" xfId="3" applyNumberFormat="1" applyFont="1" applyFill="1" applyBorder="1" applyAlignment="1">
      <alignment vertical="center"/>
    </xf>
    <xf numFmtId="3" fontId="14" fillId="0" borderId="20" xfId="3" applyNumberFormat="1" applyFont="1" applyBorder="1" applyAlignment="1">
      <alignment vertical="center"/>
    </xf>
    <xf numFmtId="3" fontId="15" fillId="1" borderId="20" xfId="3" applyNumberFormat="1" applyFont="1" applyFill="1" applyBorder="1" applyAlignment="1">
      <alignment vertical="center"/>
    </xf>
    <xf numFmtId="3" fontId="14" fillId="0" borderId="0" xfId="3" applyNumberFormat="1" applyFont="1" applyBorder="1" applyAlignment="1">
      <alignment vertical="center"/>
    </xf>
    <xf numFmtId="0" fontId="14" fillId="0" borderId="0" xfId="3" quotePrefix="1" applyFont="1" applyAlignment="1">
      <alignment vertical="center"/>
    </xf>
    <xf numFmtId="3" fontId="14" fillId="1" borderId="2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3" fontId="17" fillId="0" borderId="20" xfId="3" applyNumberFormat="1" applyFont="1" applyFill="1" applyBorder="1" applyAlignment="1">
      <alignment vertical="center"/>
    </xf>
    <xf numFmtId="3" fontId="15" fillId="0" borderId="23" xfId="3" applyNumberFormat="1" applyFont="1" applyFill="1" applyBorder="1" applyAlignment="1">
      <alignment vertical="center"/>
    </xf>
    <xf numFmtId="3" fontId="15" fillId="0" borderId="7" xfId="3" applyNumberFormat="1" applyFont="1" applyFill="1" applyBorder="1" applyAlignment="1">
      <alignment vertical="center"/>
    </xf>
    <xf numFmtId="0" fontId="14" fillId="0" borderId="24" xfId="3" applyFont="1" applyBorder="1" applyAlignment="1">
      <alignment vertical="center"/>
    </xf>
    <xf numFmtId="0" fontId="17" fillId="0" borderId="25" xfId="3" applyFont="1" applyBorder="1" applyAlignment="1">
      <alignment vertical="center"/>
    </xf>
    <xf numFmtId="0" fontId="14" fillId="0" borderId="25" xfId="3" applyFont="1" applyBorder="1" applyAlignment="1">
      <alignment vertical="center"/>
    </xf>
    <xf numFmtId="3" fontId="14" fillId="0" borderId="23" xfId="3" applyNumberFormat="1" applyFont="1" applyFill="1" applyBorder="1" applyAlignment="1">
      <alignment vertical="center"/>
    </xf>
    <xf numFmtId="3" fontId="17" fillId="0" borderId="23" xfId="3" applyNumberFormat="1" applyFont="1" applyFill="1" applyBorder="1" applyAlignment="1">
      <alignment vertical="center"/>
    </xf>
    <xf numFmtId="0" fontId="14" fillId="0" borderId="26" xfId="3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0" fontId="14" fillId="0" borderId="3" xfId="3" applyFont="1" applyFill="1" applyBorder="1" applyAlignment="1">
      <alignment vertical="center"/>
    </xf>
    <xf numFmtId="3" fontId="15" fillId="1" borderId="7" xfId="3" applyNumberFormat="1" applyFont="1" applyFill="1" applyBorder="1" applyAlignment="1">
      <alignment vertical="center"/>
    </xf>
    <xf numFmtId="4" fontId="14" fillId="0" borderId="4" xfId="3" applyNumberFormat="1" applyFont="1" applyBorder="1" applyAlignment="1">
      <alignment vertical="center"/>
    </xf>
    <xf numFmtId="0" fontId="14" fillId="0" borderId="25" xfId="3" applyFont="1" applyFill="1" applyBorder="1" applyAlignment="1">
      <alignment vertical="center"/>
    </xf>
    <xf numFmtId="3" fontId="15" fillId="1" borderId="23" xfId="3" applyNumberFormat="1" applyFont="1" applyFill="1" applyBorder="1" applyAlignment="1">
      <alignment vertical="center"/>
    </xf>
    <xf numFmtId="3" fontId="14" fillId="1" borderId="23" xfId="3" applyNumberFormat="1" applyFont="1" applyFill="1" applyBorder="1" applyAlignment="1">
      <alignment vertical="center"/>
    </xf>
    <xf numFmtId="4" fontId="14" fillId="0" borderId="26" xfId="3" applyNumberFormat="1" applyFont="1" applyBorder="1" applyAlignment="1">
      <alignment vertical="center"/>
    </xf>
    <xf numFmtId="0" fontId="15" fillId="0" borderId="25" xfId="3" applyFont="1" applyFill="1" applyBorder="1" applyAlignment="1">
      <alignment vertical="center"/>
    </xf>
    <xf numFmtId="0" fontId="15" fillId="0" borderId="25" xfId="3" applyFont="1" applyFill="1" applyBorder="1" applyAlignment="1">
      <alignment horizontal="left" vertical="center" wrapText="1"/>
    </xf>
    <xf numFmtId="0" fontId="14" fillId="0" borderId="27" xfId="3" applyFont="1" applyFill="1" applyBorder="1" applyAlignment="1">
      <alignment vertical="center"/>
    </xf>
    <xf numFmtId="3" fontId="14" fillId="1" borderId="7" xfId="3" applyNumberFormat="1" applyFont="1" applyFill="1" applyBorder="1" applyAlignment="1">
      <alignment vertical="center"/>
    </xf>
    <xf numFmtId="3" fontId="15" fillId="1" borderId="5" xfId="3" applyNumberFormat="1" applyFont="1" applyFill="1" applyBorder="1" applyAlignment="1">
      <alignment vertical="center"/>
    </xf>
    <xf numFmtId="3" fontId="15" fillId="1" borderId="6" xfId="3" applyNumberFormat="1" applyFont="1" applyFill="1" applyBorder="1" applyAlignment="1">
      <alignment vertical="center"/>
    </xf>
    <xf numFmtId="3" fontId="15" fillId="1" borderId="11" xfId="3" applyNumberFormat="1" applyFont="1" applyFill="1" applyBorder="1" applyAlignment="1">
      <alignment vertical="center"/>
    </xf>
    <xf numFmtId="4" fontId="14" fillId="0" borderId="10" xfId="3" applyNumberFormat="1" applyFont="1" applyBorder="1" applyAlignment="1">
      <alignment vertical="center"/>
    </xf>
    <xf numFmtId="0" fontId="14" fillId="0" borderId="5" xfId="3" applyFont="1" applyBorder="1" applyAlignment="1">
      <alignment vertical="center"/>
    </xf>
    <xf numFmtId="3" fontId="14" fillId="1" borderId="11" xfId="3" applyNumberFormat="1" applyFont="1" applyFill="1" applyBorder="1" applyAlignment="1">
      <alignment vertical="center"/>
    </xf>
    <xf numFmtId="3" fontId="15" fillId="0" borderId="11" xfId="3" applyNumberFormat="1" applyFont="1" applyFill="1" applyBorder="1" applyAlignment="1">
      <alignment horizontal="center" vertical="center"/>
    </xf>
    <xf numFmtId="0" fontId="15" fillId="0" borderId="28" xfId="3" applyFont="1" applyFill="1" applyBorder="1" applyAlignment="1">
      <alignment horizontal="center" vertical="center"/>
    </xf>
    <xf numFmtId="0" fontId="14" fillId="0" borderId="4" xfId="3" applyFont="1" applyBorder="1" applyAlignment="1">
      <alignment vertical="center"/>
    </xf>
    <xf numFmtId="3" fontId="15" fillId="0" borderId="29" xfId="3" applyNumberFormat="1" applyFont="1" applyFill="1" applyBorder="1" applyAlignment="1">
      <alignment vertical="center"/>
    </xf>
    <xf numFmtId="4" fontId="15" fillId="0" borderId="26" xfId="3" applyNumberFormat="1" applyFont="1" applyBorder="1" applyAlignment="1">
      <alignment horizontal="center" vertical="center"/>
    </xf>
    <xf numFmtId="3" fontId="15" fillId="18" borderId="0" xfId="3" applyNumberFormat="1" applyFont="1" applyFill="1" applyBorder="1" applyAlignment="1">
      <alignment vertical="center"/>
    </xf>
    <xf numFmtId="4" fontId="15" fillId="0" borderId="26" xfId="3" applyNumberFormat="1" applyFont="1" applyBorder="1" applyAlignment="1">
      <alignment horizontal="center" vertical="center" wrapText="1"/>
    </xf>
    <xf numFmtId="3" fontId="14" fillId="18" borderId="24" xfId="3" applyNumberFormat="1" applyFont="1" applyFill="1" applyBorder="1" applyAlignment="1">
      <alignment vertical="center"/>
    </xf>
    <xf numFmtId="3" fontId="14" fillId="18" borderId="25" xfId="3" applyNumberFormat="1" applyFont="1" applyFill="1" applyBorder="1" applyAlignment="1">
      <alignment vertical="center"/>
    </xf>
    <xf numFmtId="0" fontId="15" fillId="0" borderId="29" xfId="3" quotePrefix="1" applyFont="1" applyBorder="1" applyAlignment="1">
      <alignment horizontal="center" vertical="center" wrapText="1"/>
    </xf>
    <xf numFmtId="3" fontId="15" fillId="1" borderId="19" xfId="3" applyNumberFormat="1" applyFont="1" applyFill="1" applyBorder="1" applyAlignment="1">
      <alignment vertical="center"/>
    </xf>
    <xf numFmtId="3" fontId="15" fillId="1" borderId="0" xfId="3" applyNumberFormat="1" applyFont="1" applyFill="1" applyBorder="1" applyAlignment="1">
      <alignment vertical="center"/>
    </xf>
    <xf numFmtId="3" fontId="15" fillId="19" borderId="20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3" fontId="17" fillId="19" borderId="20" xfId="3" applyNumberFormat="1" applyFont="1" applyFill="1" applyBorder="1" applyAlignment="1">
      <alignment vertical="center"/>
    </xf>
    <xf numFmtId="0" fontId="14" fillId="0" borderId="31" xfId="3" applyFont="1" applyBorder="1" applyAlignment="1">
      <alignment vertical="center"/>
    </xf>
    <xf numFmtId="3" fontId="14" fillId="0" borderId="21" xfId="3" applyNumberFormat="1" applyFont="1" applyBorder="1" applyAlignment="1">
      <alignment vertical="center"/>
    </xf>
    <xf numFmtId="3" fontId="15" fillId="19" borderId="23" xfId="3" applyNumberFormat="1" applyFont="1" applyFill="1" applyBorder="1" applyAlignment="1">
      <alignment vertical="center"/>
    </xf>
    <xf numFmtId="0" fontId="15" fillId="0" borderId="25" xfId="3" applyFont="1" applyFill="1" applyBorder="1" applyAlignment="1">
      <alignment horizontal="right" vertical="center" wrapText="1"/>
    </xf>
    <xf numFmtId="3" fontId="14" fillId="0" borderId="26" xfId="3" applyNumberFormat="1" applyFont="1" applyBorder="1" applyAlignment="1">
      <alignment vertical="center"/>
    </xf>
    <xf numFmtId="0" fontId="14" fillId="0" borderId="29" xfId="3" applyFont="1" applyBorder="1" applyAlignment="1">
      <alignment vertical="center"/>
    </xf>
    <xf numFmtId="0" fontId="15" fillId="0" borderId="0" xfId="3" applyFont="1" applyBorder="1" applyAlignment="1">
      <alignment horizontal="center" vertical="center"/>
    </xf>
    <xf numFmtId="3" fontId="14" fillId="0" borderId="0" xfId="3" applyNumberFormat="1" applyFont="1" applyAlignment="1">
      <alignment horizontal="right" vertical="center"/>
    </xf>
    <xf numFmtId="3" fontId="15" fillId="0" borderId="0" xfId="3" applyNumberFormat="1" applyFont="1" applyBorder="1" applyAlignment="1">
      <alignment vertical="center"/>
    </xf>
    <xf numFmtId="0" fontId="14" fillId="0" borderId="0" xfId="4" applyFont="1" applyFill="1" applyAlignment="1">
      <alignment vertical="center"/>
    </xf>
    <xf numFmtId="0" fontId="15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4" fillId="0" borderId="0" xfId="4" applyNumberFormat="1" applyFont="1" applyAlignment="1">
      <alignment vertical="center"/>
    </xf>
    <xf numFmtId="0" fontId="14" fillId="0" borderId="0" xfId="4" applyFont="1" applyBorder="1" applyAlignment="1">
      <alignment vertical="center"/>
    </xf>
    <xf numFmtId="9" fontId="14" fillId="0" borderId="0" xfId="4" applyNumberFormat="1" applyFont="1" applyAlignment="1">
      <alignment vertical="center"/>
    </xf>
    <xf numFmtId="3" fontId="15" fillId="0" borderId="0" xfId="4" applyNumberFormat="1" applyFont="1" applyAlignment="1">
      <alignment vertical="center"/>
    </xf>
    <xf numFmtId="0" fontId="14" fillId="0" borderId="32" xfId="4" applyFont="1" applyBorder="1" applyAlignment="1">
      <alignment horizontal="right" vertical="center"/>
    </xf>
    <xf numFmtId="0" fontId="14" fillId="0" borderId="33" xfId="4" applyFont="1" applyBorder="1" applyAlignment="1">
      <alignment vertical="center"/>
    </xf>
    <xf numFmtId="3" fontId="14" fillId="0" borderId="34" xfId="4" applyNumberFormat="1" applyFont="1" applyBorder="1" applyAlignment="1">
      <alignment vertical="center"/>
    </xf>
    <xf numFmtId="0" fontId="15" fillId="0" borderId="0" xfId="3" applyFont="1" applyAlignment="1">
      <alignment vertical="center"/>
    </xf>
    <xf numFmtId="9" fontId="14" fillId="0" borderId="0" xfId="3" applyNumberFormat="1" applyFont="1" applyAlignment="1">
      <alignment vertical="center"/>
    </xf>
    <xf numFmtId="3" fontId="15" fillId="0" borderId="0" xfId="3" applyNumberFormat="1" applyFont="1" applyAlignment="1">
      <alignment vertical="center"/>
    </xf>
    <xf numFmtId="0" fontId="15" fillId="0" borderId="0" xfId="3" applyFont="1" applyAlignment="1">
      <alignment horizontal="left" vertical="center"/>
    </xf>
    <xf numFmtId="0" fontId="19" fillId="20" borderId="0" xfId="3" applyFont="1" applyFill="1" applyAlignment="1">
      <alignment horizontal="left" vertical="center" wrapText="1"/>
    </xf>
    <xf numFmtId="0" fontId="20" fillId="2" borderId="0" xfId="3" applyFont="1" applyFill="1" applyAlignment="1">
      <alignment vertical="center" wrapText="1"/>
    </xf>
    <xf numFmtId="0" fontId="19" fillId="2" borderId="0" xfId="3" applyFont="1" applyFill="1" applyAlignment="1">
      <alignment horizontal="left" vertical="center" wrapText="1"/>
    </xf>
    <xf numFmtId="0" fontId="19" fillId="2" borderId="0" xfId="3" applyFont="1" applyFill="1" applyAlignment="1">
      <alignment horizontal="center" vertical="center" wrapText="1"/>
    </xf>
    <xf numFmtId="0" fontId="20" fillId="2" borderId="0" xfId="3" applyFont="1" applyFill="1" applyAlignment="1">
      <alignment horizontal="center" vertical="center" wrapText="1"/>
    </xf>
    <xf numFmtId="3" fontId="20" fillId="2" borderId="0" xfId="3" applyNumberFormat="1" applyFont="1" applyFill="1" applyAlignment="1">
      <alignment vertical="center" wrapText="1"/>
    </xf>
    <xf numFmtId="165" fontId="20" fillId="2" borderId="0" xfId="5" applyNumberFormat="1" applyFont="1" applyFill="1" applyAlignment="1">
      <alignment vertical="center" wrapText="1"/>
    </xf>
    <xf numFmtId="0" fontId="19" fillId="2" borderId="0" xfId="3" applyFont="1" applyFill="1" applyAlignment="1">
      <alignment vertical="center" wrapText="1"/>
    </xf>
    <xf numFmtId="3" fontId="19" fillId="2" borderId="0" xfId="3" applyNumberFormat="1" applyFont="1" applyFill="1" applyAlignment="1">
      <alignment vertical="center" wrapText="1"/>
    </xf>
    <xf numFmtId="9" fontId="19" fillId="2" borderId="0" xfId="5" applyFont="1" applyFill="1" applyAlignment="1">
      <alignment vertical="center" wrapText="1"/>
    </xf>
    <xf numFmtId="165" fontId="21" fillId="2" borderId="0" xfId="5" applyNumberFormat="1" applyFont="1" applyFill="1" applyAlignment="1">
      <alignment vertical="center" wrapText="1"/>
    </xf>
    <xf numFmtId="0" fontId="22" fillId="2" borderId="0" xfId="3" applyFont="1" applyFill="1" applyAlignment="1">
      <alignment vertical="center" wrapText="1"/>
    </xf>
    <xf numFmtId="3" fontId="22" fillId="2" borderId="0" xfId="3" applyNumberFormat="1" applyFont="1" applyFill="1" applyAlignment="1">
      <alignment vertical="center" wrapText="1"/>
    </xf>
    <xf numFmtId="165" fontId="22" fillId="2" borderId="0" xfId="5" applyNumberFormat="1" applyFont="1" applyFill="1" applyAlignment="1">
      <alignment vertical="center" wrapText="1"/>
    </xf>
    <xf numFmtId="9" fontId="20" fillId="2" borderId="0" xfId="5" applyFont="1" applyFill="1" applyAlignment="1">
      <alignment vertical="center" wrapText="1"/>
    </xf>
    <xf numFmtId="165" fontId="20" fillId="2" borderId="0" xfId="224" applyNumberFormat="1" applyFont="1" applyFill="1" applyAlignment="1">
      <alignment vertical="center" wrapText="1"/>
    </xf>
    <xf numFmtId="165" fontId="20" fillId="2" borderId="0" xfId="3" applyNumberFormat="1" applyFont="1" applyFill="1" applyAlignment="1">
      <alignment vertical="center" wrapText="1"/>
    </xf>
    <xf numFmtId="9" fontId="20" fillId="2" borderId="0" xfId="5" applyNumberFormat="1" applyFont="1" applyFill="1" applyAlignment="1">
      <alignment vertical="center" wrapText="1"/>
    </xf>
    <xf numFmtId="9" fontId="19" fillId="2" borderId="0" xfId="5" applyNumberFormat="1" applyFont="1" applyFill="1" applyAlignment="1">
      <alignment vertical="center" wrapText="1"/>
    </xf>
    <xf numFmtId="9" fontId="20" fillId="2" borderId="0" xfId="3" applyNumberFormat="1" applyFont="1" applyFill="1" applyAlignment="1">
      <alignment vertical="center" wrapText="1"/>
    </xf>
    <xf numFmtId="9" fontId="19" fillId="2" borderId="0" xfId="3" applyNumberFormat="1" applyFont="1" applyFill="1" applyAlignment="1">
      <alignment horizontal="center" vertical="center" wrapText="1"/>
    </xf>
    <xf numFmtId="9" fontId="21" fillId="2" borderId="0" xfId="5" applyNumberFormat="1" applyFont="1" applyFill="1" applyAlignment="1">
      <alignment vertical="center" wrapText="1"/>
    </xf>
    <xf numFmtId="0" fontId="24" fillId="0" borderId="0" xfId="0" applyFont="1"/>
    <xf numFmtId="49" fontId="24" fillId="0" borderId="0" xfId="0" applyNumberFormat="1" applyFont="1"/>
    <xf numFmtId="164" fontId="24" fillId="0" borderId="0" xfId="0" applyNumberFormat="1" applyFont="1"/>
    <xf numFmtId="4" fontId="7" fillId="0" borderId="0" xfId="3" applyNumberFormat="1" applyFont="1" applyFill="1" applyBorder="1"/>
    <xf numFmtId="0" fontId="5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horizontal="center" vertical="center"/>
    </xf>
    <xf numFmtId="0" fontId="12" fillId="21" borderId="0" xfId="3" applyFont="1" applyFill="1" applyBorder="1" applyAlignment="1" applyProtection="1">
      <alignment horizontal="left" vertical="center" wrapText="1"/>
      <protection locked="0"/>
    </xf>
    <xf numFmtId="0" fontId="12" fillId="21" borderId="0" xfId="3" applyFont="1" applyFill="1" applyProtection="1">
      <protection locked="0"/>
    </xf>
    <xf numFmtId="4" fontId="7" fillId="21" borderId="0" xfId="3" applyNumberFormat="1" applyFont="1" applyFill="1" applyBorder="1"/>
    <xf numFmtId="0" fontId="5" fillId="21" borderId="0" xfId="3" applyFont="1" applyFill="1" applyBorder="1" applyAlignment="1">
      <alignment vertical="center" wrapText="1"/>
    </xf>
    <xf numFmtId="0" fontId="12" fillId="0" borderId="0" xfId="3" applyFont="1" applyFill="1" applyBorder="1" applyAlignment="1" applyProtection="1">
      <alignment horizontal="left" vertical="center" wrapText="1"/>
      <protection locked="0"/>
    </xf>
    <xf numFmtId="0" fontId="12" fillId="0" borderId="0" xfId="3" applyFont="1" applyFill="1" applyProtection="1">
      <protection locked="0"/>
    </xf>
    <xf numFmtId="0" fontId="5" fillId="0" borderId="0" xfId="3" quotePrefix="1" applyFont="1" applyFill="1" applyBorder="1" applyAlignment="1">
      <alignment vertical="center" wrapText="1"/>
    </xf>
    <xf numFmtId="0" fontId="5" fillId="21" borderId="0" xfId="3" quotePrefix="1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0" xfId="3" applyFont="1" applyFill="1" applyBorder="1" applyAlignment="1">
      <alignment vertical="center" wrapText="1"/>
    </xf>
    <xf numFmtId="4" fontId="5" fillId="0" borderId="0" xfId="3" applyNumberFormat="1" applyFont="1" applyFill="1" applyBorder="1" applyAlignment="1">
      <alignment horizontal="right" vertical="center" wrapText="1"/>
    </xf>
    <xf numFmtId="4" fontId="5" fillId="0" borderId="0" xfId="3" applyNumberFormat="1" applyFont="1" applyFill="1" applyBorder="1" applyAlignment="1">
      <alignment vertical="center" wrapText="1"/>
    </xf>
    <xf numFmtId="0" fontId="5" fillId="3" borderId="0" xfId="3" applyFont="1" applyFill="1"/>
    <xf numFmtId="0" fontId="5" fillId="3" borderId="0" xfId="3" applyFont="1" applyFill="1" applyAlignment="1">
      <alignment horizontal="center" vertical="center"/>
    </xf>
    <xf numFmtId="0" fontId="5" fillId="4" borderId="0" xfId="3" applyFont="1" applyFill="1" applyAlignment="1">
      <alignment horizontal="center" vertical="center"/>
    </xf>
    <xf numFmtId="0" fontId="5" fillId="6" borderId="0" xfId="3" applyFont="1" applyFill="1" applyAlignment="1">
      <alignment horizontal="center" vertical="center"/>
    </xf>
    <xf numFmtId="0" fontId="12" fillId="7" borderId="0" xfId="3" applyFont="1" applyFill="1" applyProtection="1">
      <protection locked="0"/>
    </xf>
    <xf numFmtId="0" fontId="12" fillId="7" borderId="0" xfId="3" applyFont="1" applyFill="1" applyAlignment="1" applyProtection="1">
      <alignment horizontal="center"/>
      <protection locked="0"/>
    </xf>
    <xf numFmtId="0" fontId="5" fillId="5" borderId="0" xfId="3" applyFont="1" applyFill="1"/>
    <xf numFmtId="0" fontId="5" fillId="5" borderId="0" xfId="3" applyFont="1" applyFill="1" applyAlignment="1">
      <alignment horizontal="center" vertical="center"/>
    </xf>
    <xf numFmtId="0" fontId="5" fillId="10" borderId="0" xfId="3" applyFont="1" applyFill="1"/>
    <xf numFmtId="0" fontId="5" fillId="10" borderId="0" xfId="3" applyFont="1" applyFill="1" applyAlignment="1">
      <alignment horizontal="center" vertical="center"/>
    </xf>
    <xf numFmtId="0" fontId="30" fillId="20" borderId="0" xfId="3" applyFont="1" applyFill="1" applyBorder="1"/>
    <xf numFmtId="0" fontId="30" fillId="20" borderId="0" xfId="3" applyFont="1" applyFill="1" applyBorder="1" applyAlignment="1">
      <alignment horizontal="center" vertical="center"/>
    </xf>
    <xf numFmtId="0" fontId="30" fillId="20" borderId="0" xfId="3" applyFont="1" applyFill="1"/>
    <xf numFmtId="0" fontId="30" fillId="20" borderId="0" xfId="3" applyFont="1" applyFill="1" applyAlignment="1">
      <alignment horizontal="center" vertical="center"/>
    </xf>
    <xf numFmtId="0" fontId="30" fillId="20" borderId="0" xfId="3" applyFont="1" applyFill="1" applyAlignment="1">
      <alignment vertical="center"/>
    </xf>
    <xf numFmtId="0" fontId="11" fillId="22" borderId="0" xfId="3" applyFont="1" applyFill="1"/>
    <xf numFmtId="0" fontId="5" fillId="22" borderId="0" xfId="3" applyFont="1" applyFill="1" applyAlignment="1">
      <alignment horizontal="center" vertical="center"/>
    </xf>
    <xf numFmtId="0" fontId="5" fillId="23" borderId="0" xfId="3" applyFont="1" applyFill="1"/>
    <xf numFmtId="0" fontId="5" fillId="23" borderId="0" xfId="3" applyFont="1" applyFill="1" applyAlignment="1">
      <alignment horizontal="center" vertical="center"/>
    </xf>
    <xf numFmtId="4" fontId="31" fillId="2" borderId="0" xfId="3" applyNumberFormat="1" applyFont="1" applyFill="1"/>
    <xf numFmtId="0" fontId="5" fillId="21" borderId="0" xfId="3" applyFont="1" applyFill="1"/>
    <xf numFmtId="0" fontId="5" fillId="21" borderId="0" xfId="3" applyFont="1" applyFill="1" applyAlignment="1">
      <alignment horizontal="center" vertical="center"/>
    </xf>
    <xf numFmtId="0" fontId="30" fillId="0" borderId="0" xfId="3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29" fillId="0" borderId="0" xfId="0" applyFont="1" applyFill="1"/>
    <xf numFmtId="0" fontId="30" fillId="0" borderId="0" xfId="3" applyFont="1" applyFill="1" applyAlignment="1">
      <alignment horizontal="center" vertical="center"/>
    </xf>
    <xf numFmtId="9" fontId="14" fillId="0" borderId="0" xfId="224" applyFont="1" applyFill="1" applyAlignment="1">
      <alignment vertical="center"/>
    </xf>
    <xf numFmtId="9" fontId="14" fillId="0" borderId="0" xfId="224" applyFont="1" applyAlignment="1">
      <alignment vertical="center"/>
    </xf>
    <xf numFmtId="9" fontId="15" fillId="0" borderId="0" xfId="224" applyFont="1" applyAlignment="1">
      <alignment vertical="center"/>
    </xf>
    <xf numFmtId="9" fontId="14" fillId="0" borderId="0" xfId="224" applyFont="1" applyFill="1" applyBorder="1" applyAlignment="1">
      <alignment vertical="center"/>
    </xf>
    <xf numFmtId="9" fontId="14" fillId="0" borderId="0" xfId="224" quotePrefix="1" applyFont="1" applyFill="1" applyBorder="1" applyAlignment="1">
      <alignment vertical="center"/>
    </xf>
    <xf numFmtId="165" fontId="14" fillId="0" borderId="0" xfId="224" applyNumberFormat="1" applyFont="1" applyFill="1" applyAlignment="1">
      <alignment vertical="center"/>
    </xf>
    <xf numFmtId="9" fontId="14" fillId="0" borderId="19" xfId="224" applyFont="1" applyFill="1" applyBorder="1" applyAlignment="1">
      <alignment vertical="center"/>
    </xf>
    <xf numFmtId="0" fontId="3" fillId="0" borderId="0" xfId="3" applyFill="1" applyProtection="1">
      <protection locked="0"/>
    </xf>
    <xf numFmtId="0" fontId="5" fillId="0" borderId="0" xfId="3" applyFont="1" applyFill="1"/>
    <xf numFmtId="49" fontId="15" fillId="0" borderId="6" xfId="3" applyNumberFormat="1" applyFont="1" applyFill="1" applyBorder="1" applyAlignment="1">
      <alignment horizontal="center" vertical="center"/>
    </xf>
    <xf numFmtId="49" fontId="15" fillId="0" borderId="8" xfId="3" applyNumberFormat="1" applyFont="1" applyFill="1" applyBorder="1" applyAlignment="1">
      <alignment horizontal="center" vertical="center"/>
    </xf>
    <xf numFmtId="0" fontId="15" fillId="0" borderId="13" xfId="3" applyFont="1" applyBorder="1" applyAlignment="1">
      <alignment horizontal="right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15" fillId="0" borderId="3" xfId="3" applyFont="1" applyFill="1" applyBorder="1" applyAlignment="1">
      <alignment horizontal="left" vertical="center" wrapText="1"/>
    </xf>
    <xf numFmtId="0" fontId="15" fillId="0" borderId="25" xfId="3" applyFont="1" applyFill="1" applyBorder="1" applyAlignment="1">
      <alignment horizontal="left" vertical="center" wrapText="1"/>
    </xf>
    <xf numFmtId="0" fontId="15" fillId="0" borderId="25" xfId="3" applyFont="1" applyFill="1" applyBorder="1" applyAlignment="1">
      <alignment horizontal="left" vertical="center"/>
    </xf>
    <xf numFmtId="0" fontId="15" fillId="0" borderId="6" xfId="3" applyFont="1" applyFill="1" applyBorder="1" applyAlignment="1">
      <alignment horizontal="left" vertical="center" wrapText="1"/>
    </xf>
    <xf numFmtId="0" fontId="15" fillId="0" borderId="8" xfId="3" applyFont="1" applyFill="1" applyBorder="1" applyAlignment="1">
      <alignment horizontal="left" vertical="center" wrapText="1"/>
    </xf>
    <xf numFmtId="0" fontId="15" fillId="0" borderId="3" xfId="3" applyFont="1" applyFill="1" applyBorder="1" applyAlignment="1">
      <alignment horizontal="left" vertical="center"/>
    </xf>
    <xf numFmtId="0" fontId="15" fillId="0" borderId="21" xfId="3" quotePrefix="1" applyFont="1" applyBorder="1" applyAlignment="1">
      <alignment horizontal="center" vertical="top" wrapText="1"/>
    </xf>
    <xf numFmtId="0" fontId="15" fillId="0" borderId="30" xfId="3" applyFont="1" applyFill="1" applyBorder="1" applyAlignment="1">
      <alignment horizontal="left" vertical="center" wrapText="1"/>
    </xf>
    <xf numFmtId="4" fontId="14" fillId="0" borderId="21" xfId="3" applyNumberFormat="1" applyFont="1" applyBorder="1" applyAlignment="1">
      <alignment horizontal="center" vertical="top" wrapText="1"/>
    </xf>
    <xf numFmtId="0" fontId="14" fillId="0" borderId="31" xfId="3" applyFont="1" applyBorder="1" applyAlignment="1">
      <alignment horizontal="center" vertical="top" wrapText="1"/>
    </xf>
    <xf numFmtId="0" fontId="14" fillId="0" borderId="29" xfId="3" applyFont="1" applyBorder="1" applyAlignment="1">
      <alignment horizontal="center" vertical="top" wrapText="1"/>
    </xf>
    <xf numFmtId="0" fontId="15" fillId="19" borderId="2" xfId="3" applyFont="1" applyFill="1" applyBorder="1" applyAlignment="1">
      <alignment horizontal="center" vertical="center" wrapText="1"/>
    </xf>
    <xf numFmtId="0" fontId="3" fillId="0" borderId="3" xfId="3" applyBorder="1"/>
    <xf numFmtId="0" fontId="3" fillId="0" borderId="30" xfId="3" applyBorder="1"/>
    <xf numFmtId="0" fontId="15" fillId="0" borderId="25" xfId="3" applyFont="1" applyFill="1" applyBorder="1" applyAlignment="1">
      <alignment horizontal="right" vertical="center" wrapText="1"/>
    </xf>
  </cellXfs>
  <cellStyles count="225">
    <cellStyle name="Lien hypertexte" xfId="1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 visité" xfId="2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Normal" xfId="0" builtinId="0"/>
    <cellStyle name="Normal 2" xfId="3" xr:uid="{00000000-0005-0000-0000-0000DD000000}"/>
    <cellStyle name="Normal 2 2" xfId="4" xr:uid="{00000000-0005-0000-0000-0000DE000000}"/>
    <cellStyle name="Pourcentage" xfId="224" builtinId="5"/>
    <cellStyle name="Pourcentage 2" xfId="5" xr:uid="{00000000-0005-0000-0000-0000DF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1-A09D-B24C-9C78-2608AACCD7B5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3-A09D-B24C-9C78-2608AACCD7B5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5-A09D-B24C-9C78-2608AACCD7B5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7-A09D-B24C-9C78-2608AACCD7B5}"/>
              </c:ext>
            </c:extLst>
          </c:dPt>
          <c:dPt>
            <c:idx val="4"/>
            <c:bubble3D val="0"/>
            <c:spPr/>
            <c:extLst>
              <c:ext xmlns:c16="http://schemas.microsoft.com/office/drawing/2014/chart" uri="{C3380CC4-5D6E-409C-BE32-E72D297353CC}">
                <c16:uniqueId val="{00000009-A09D-B24C-9C78-2608AACCD7B5}"/>
              </c:ext>
            </c:extLst>
          </c:dPt>
          <c:dLbls>
            <c:spPr>
              <a:solidFill>
                <a:schemeClr val="bg1"/>
              </a:solidFill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Graph!$A$4:$A$8</c:f>
              <c:strCache>
                <c:ptCount val="5"/>
                <c:pt idx="0">
                  <c:v>Mission sociale réalisée en France</c:v>
                </c:pt>
                <c:pt idx="1">
                  <c:v>Mission sociale réalisée à l'étranger</c:v>
                </c:pt>
                <c:pt idx="2">
                  <c:v>Frais de recherche de fonds</c:v>
                </c:pt>
                <c:pt idx="3">
                  <c:v>Frais de fonctionnement</c:v>
                </c:pt>
                <c:pt idx="4">
                  <c:v>Dotations aux provisions</c:v>
                </c:pt>
              </c:strCache>
            </c:strRef>
          </c:cat>
          <c:val>
            <c:numRef>
              <c:f>Graph!$C$4:$C$8</c:f>
              <c:numCache>
                <c:formatCode>0.0%</c:formatCode>
                <c:ptCount val="5"/>
                <c:pt idx="0">
                  <c:v>0.51308065260461089</c:v>
                </c:pt>
                <c:pt idx="1">
                  <c:v>0.31536142385608057</c:v>
                </c:pt>
                <c:pt idx="2">
                  <c:v>8.0267839589528878E-2</c:v>
                </c:pt>
                <c:pt idx="3">
                  <c:v>6.5272350526167255E-2</c:v>
                </c:pt>
                <c:pt idx="4">
                  <c:v>7.0566339338661663E-3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9D-B24C-9C78-2608AACCD7B5}"/>
            </c:ext>
          </c:extLst>
        </c:ser>
        <c:ser>
          <c:idx val="1"/>
          <c:order val="1"/>
          <c:spPr>
            <a:gradFill rotWithShape="0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C-A09D-B24C-9C78-2608AACCD7B5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E-A09D-B24C-9C78-2608AACCD7B5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10-A09D-B24C-9C78-2608AACCD7B5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12-A09D-B24C-9C78-2608AACCD7B5}"/>
              </c:ext>
            </c:extLst>
          </c:dPt>
          <c:dPt>
            <c:idx val="4"/>
            <c:bubble3D val="0"/>
            <c:spPr/>
            <c:extLst>
              <c:ext xmlns:c16="http://schemas.microsoft.com/office/drawing/2014/chart" uri="{C3380CC4-5D6E-409C-BE32-E72D297353CC}">
                <c16:uniqueId val="{00000014-A09D-B24C-9C78-2608AACCD7B5}"/>
              </c:ext>
            </c:extLst>
          </c:dPt>
          <c:cat>
            <c:strRef>
              <c:f>Graph!$A$4:$A$8</c:f>
              <c:strCache>
                <c:ptCount val="5"/>
                <c:pt idx="0">
                  <c:v>Mission sociale réalisée en France</c:v>
                </c:pt>
                <c:pt idx="1">
                  <c:v>Mission sociale réalisée à l'étranger</c:v>
                </c:pt>
                <c:pt idx="2">
                  <c:v>Frais de recherche de fonds</c:v>
                </c:pt>
                <c:pt idx="3">
                  <c:v>Frais de fonctionnement</c:v>
                </c:pt>
                <c:pt idx="4">
                  <c:v>Dotations aux provisions</c:v>
                </c:pt>
              </c:strCache>
            </c:strRef>
          </c:cat>
          <c:val>
            <c:numRef>
              <c:f>Graph!$C$4:$C$8</c:f>
              <c:numCache>
                <c:formatCode>0.0%</c:formatCode>
                <c:ptCount val="5"/>
                <c:pt idx="0">
                  <c:v>0.51308065260461089</c:v>
                </c:pt>
                <c:pt idx="1">
                  <c:v>0.31536142385608057</c:v>
                </c:pt>
                <c:pt idx="2">
                  <c:v>8.0267839589528878E-2</c:v>
                </c:pt>
                <c:pt idx="3">
                  <c:v>6.5272350526167255E-2</c:v>
                </c:pt>
                <c:pt idx="4">
                  <c:v>7.0566339338661663E-3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9D-B24C-9C78-2608AACCD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481057367828997"/>
          <c:y val="8.6262561774372803E-2"/>
          <c:w val="0.22684848143982"/>
          <c:h val="0.65742876735002698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1-98EC-E346-B7D3-FF5CD1F607D2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3-98EC-E346-B7D3-FF5CD1F607D2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5-98EC-E346-B7D3-FF5CD1F607D2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7-98EC-E346-B7D3-FF5CD1F607D2}"/>
              </c:ext>
            </c:extLst>
          </c:dPt>
          <c:dPt>
            <c:idx val="4"/>
            <c:bubble3D val="0"/>
            <c:spPr/>
            <c:extLst>
              <c:ext xmlns:c16="http://schemas.microsoft.com/office/drawing/2014/chart" uri="{C3380CC4-5D6E-409C-BE32-E72D297353CC}">
                <c16:uniqueId val="{00000009-98EC-E346-B7D3-FF5CD1F607D2}"/>
              </c:ext>
            </c:extLst>
          </c:dPt>
          <c:dPt>
            <c:idx val="5"/>
            <c:bubble3D val="0"/>
            <c:spPr/>
            <c:extLst>
              <c:ext xmlns:c16="http://schemas.microsoft.com/office/drawing/2014/chart" uri="{C3380CC4-5D6E-409C-BE32-E72D297353CC}">
                <c16:uniqueId val="{0000000B-98EC-E346-B7D3-FF5CD1F607D2}"/>
              </c:ext>
            </c:extLst>
          </c:dPt>
          <c:dPt>
            <c:idx val="6"/>
            <c:bubble3D val="0"/>
            <c:spPr>
              <a:solidFill>
                <a:schemeClr val="bg2">
                  <a:lumMod val="50000"/>
                </a:schemeClr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8EC-E346-B7D3-FF5CD1F607D2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8EC-E346-B7D3-FF5CD1F607D2}"/>
              </c:ext>
            </c:extLst>
          </c:dPt>
          <c:dPt>
            <c:idx val="8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8EC-E346-B7D3-FF5CD1F607D2}"/>
              </c:ext>
            </c:extLst>
          </c:dPt>
          <c:dLbls>
            <c:dLbl>
              <c:idx val="0"/>
              <c:layout>
                <c:manualLayout>
                  <c:x val="-9.6185155981031306E-3"/>
                  <c:y val="4.4476773117115002E-2"/>
                </c:manualLayout>
              </c:layout>
              <c:numFmt formatCode="0%" sourceLinked="0"/>
              <c:spPr>
                <a:solidFill>
                  <a:schemeClr val="bg1"/>
                </a:solidFill>
                <a:effectLst>
                  <a:outerShdw blurRad="50800" dist="38100" dir="2700000" algn="tl" rotWithShape="0">
                    <a:srgbClr val="000000">
                      <a:alpha val="43000"/>
                    </a:srgbClr>
                  </a:outerShdw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EC-E346-B7D3-FF5CD1F607D2}"/>
                </c:ext>
              </c:extLst>
            </c:dLbl>
            <c:dLbl>
              <c:idx val="1"/>
              <c:layout>
                <c:manualLayout>
                  <c:x val="-5.9306109303332799E-2"/>
                  <c:y val="-0.216986798583263"/>
                </c:manualLayout>
              </c:layout>
              <c:numFmt formatCode="0%" sourceLinked="0"/>
              <c:spPr>
                <a:solidFill>
                  <a:schemeClr val="bg1"/>
                </a:solidFill>
                <a:effectLst>
                  <a:outerShdw blurRad="50800" dist="38100" dir="2700000" algn="tl" rotWithShape="0">
                    <a:srgbClr val="000000">
                      <a:alpha val="43000"/>
                    </a:srgbClr>
                  </a:outerShdw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EC-E346-B7D3-FF5CD1F607D2}"/>
                </c:ext>
              </c:extLst>
            </c:dLbl>
            <c:dLbl>
              <c:idx val="2"/>
              <c:layout>
                <c:manualLayout>
                  <c:x val="7.6102973023999598E-2"/>
                  <c:y val="-0.17115199068426301"/>
                </c:manualLayout>
              </c:layout>
              <c:numFmt formatCode="0%" sourceLinked="0"/>
              <c:spPr>
                <a:solidFill>
                  <a:schemeClr val="bg1"/>
                </a:solidFill>
                <a:effectLst>
                  <a:outerShdw blurRad="50800" dist="38100" dir="2700000" algn="tl" rotWithShape="0">
                    <a:srgbClr val="000000">
                      <a:alpha val="43000"/>
                    </a:srgbClr>
                  </a:outerShdw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EC-E346-B7D3-FF5CD1F607D2}"/>
                </c:ext>
              </c:extLst>
            </c:dLbl>
            <c:dLbl>
              <c:idx val="3"/>
              <c:layout>
                <c:manualLayout>
                  <c:x val="4.8547915995690902E-2"/>
                  <c:y val="-0.132723744039037"/>
                </c:manualLayout>
              </c:layout>
              <c:numFmt formatCode="0%" sourceLinked="0"/>
              <c:spPr>
                <a:solidFill>
                  <a:schemeClr val="bg1"/>
                </a:solidFill>
                <a:effectLst>
                  <a:outerShdw blurRad="50800" dist="38100" dir="2700000" algn="tl" rotWithShape="0">
                    <a:srgbClr val="000000">
                      <a:alpha val="43000"/>
                    </a:srgbClr>
                  </a:outerShdw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EC-E346-B7D3-FF5CD1F607D2}"/>
                </c:ext>
              </c:extLst>
            </c:dLbl>
            <c:dLbl>
              <c:idx val="4"/>
              <c:layout>
                <c:manualLayout>
                  <c:x val="8.9129638061814405E-3"/>
                  <c:y val="2.03132043438808E-2"/>
                </c:manualLayout>
              </c:layout>
              <c:numFmt formatCode="0%" sourceLinked="0"/>
              <c:spPr>
                <a:solidFill>
                  <a:schemeClr val="bg1"/>
                </a:solidFill>
                <a:effectLst>
                  <a:outerShdw blurRad="50800" dist="38100" dir="2700000" algn="tl" rotWithShape="0">
                    <a:srgbClr val="000000">
                      <a:alpha val="43000"/>
                    </a:srgbClr>
                  </a:outerShdw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EC-E346-B7D3-FF5CD1F607D2}"/>
                </c:ext>
              </c:extLst>
            </c:dLbl>
            <c:dLbl>
              <c:idx val="5"/>
              <c:layout>
                <c:manualLayout>
                  <c:x val="8.4413780082849305E-2"/>
                  <c:y val="5.2152877897305001E-2"/>
                </c:manualLayout>
              </c:layout>
              <c:numFmt formatCode="0%" sourceLinked="0"/>
              <c:spPr>
                <a:solidFill>
                  <a:schemeClr val="bg1"/>
                </a:solidFill>
                <a:effectLst>
                  <a:outerShdw blurRad="50800" dist="38100" dir="2700000" algn="tl" rotWithShape="0">
                    <a:srgbClr val="000000">
                      <a:alpha val="43000"/>
                    </a:srgbClr>
                  </a:outerShdw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EC-E346-B7D3-FF5CD1F607D2}"/>
                </c:ext>
              </c:extLst>
            </c:dLbl>
            <c:numFmt formatCode="0%" sourceLinked="0"/>
            <c:spPr>
              <a:solidFill>
                <a:schemeClr val="bg1"/>
              </a:solidFill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Graph!$A$15:$A$23</c:f>
              <c:strCache>
                <c:ptCount val="9"/>
                <c:pt idx="0">
                  <c:v>Ressources collectées aupres du public</c:v>
                </c:pt>
                <c:pt idx="1">
                  <c:v>Autres Fonds privés : publications et pdts dérivés</c:v>
                </c:pt>
                <c:pt idx="2">
                  <c:v>Autres Fonds privés : mécénat et fondations</c:v>
                </c:pt>
                <c:pt idx="3">
                  <c:v>Autres Fonds privés : prix</c:v>
                </c:pt>
                <c:pt idx="4">
                  <c:v>Autres Fonds privés : ventes aux enchères</c:v>
                </c:pt>
                <c:pt idx="5">
                  <c:v>Subventions et autres concours publics</c:v>
                </c:pt>
                <c:pt idx="6">
                  <c:v>Autres produits</c:v>
                </c:pt>
                <c:pt idx="7">
                  <c:v>Reprises de provisions</c:v>
                </c:pt>
                <c:pt idx="8">
                  <c:v>Insuffisance des ressources de l'exercice</c:v>
                </c:pt>
              </c:strCache>
            </c:strRef>
          </c:cat>
          <c:val>
            <c:numRef>
              <c:f>Graph!$C$15:$C$23</c:f>
              <c:numCache>
                <c:formatCode>0.0%</c:formatCode>
                <c:ptCount val="9"/>
                <c:pt idx="0">
                  <c:v>6.9930704189518494E-2</c:v>
                </c:pt>
                <c:pt idx="1">
                  <c:v>0.19838379855244223</c:v>
                </c:pt>
                <c:pt idx="2">
                  <c:v>0.20331300623285806</c:v>
                </c:pt>
                <c:pt idx="3">
                  <c:v>5.9927344331737568E-2</c:v>
                </c:pt>
                <c:pt idx="4">
                  <c:v>8.9783884773354892E-4</c:v>
                </c:pt>
                <c:pt idx="5">
                  <c:v>0.39978846134758722</c:v>
                </c:pt>
                <c:pt idx="6">
                  <c:v>9.1821978957710038E-3</c:v>
                </c:pt>
                <c:pt idx="7">
                  <c:v>5.8576648602351782E-2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8EC-E346-B7D3-FF5CD1F607D2}"/>
            </c:ext>
          </c:extLst>
        </c:ser>
        <c:ser>
          <c:idx val="1"/>
          <c:order val="1"/>
          <c:spPr>
            <a:gradFill rotWithShape="0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14-98EC-E346-B7D3-FF5CD1F607D2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16-98EC-E346-B7D3-FF5CD1F607D2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18-98EC-E346-B7D3-FF5CD1F607D2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1A-98EC-E346-B7D3-FF5CD1F607D2}"/>
              </c:ext>
            </c:extLst>
          </c:dPt>
          <c:dPt>
            <c:idx val="4"/>
            <c:bubble3D val="0"/>
            <c:spPr/>
            <c:extLst>
              <c:ext xmlns:c16="http://schemas.microsoft.com/office/drawing/2014/chart" uri="{C3380CC4-5D6E-409C-BE32-E72D297353CC}">
                <c16:uniqueId val="{0000001C-98EC-E346-B7D3-FF5CD1F607D2}"/>
              </c:ext>
            </c:extLst>
          </c:dPt>
          <c:dPt>
            <c:idx val="5"/>
            <c:bubble3D val="0"/>
            <c:spPr/>
            <c:extLst>
              <c:ext xmlns:c16="http://schemas.microsoft.com/office/drawing/2014/chart" uri="{C3380CC4-5D6E-409C-BE32-E72D297353CC}">
                <c16:uniqueId val="{0000001E-98EC-E346-B7D3-FF5CD1F607D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F-98EC-E346-B7D3-FF5CD1F607D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0-98EC-E346-B7D3-FF5CD1F607D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1-98EC-E346-B7D3-FF5CD1F607D2}"/>
              </c:ext>
            </c:extLst>
          </c:dPt>
          <c:cat>
            <c:strRef>
              <c:f>Graph!$A$15:$A$23</c:f>
              <c:strCache>
                <c:ptCount val="9"/>
                <c:pt idx="0">
                  <c:v>Ressources collectées aupres du public</c:v>
                </c:pt>
                <c:pt idx="1">
                  <c:v>Autres Fonds privés : publications et pdts dérivés</c:v>
                </c:pt>
                <c:pt idx="2">
                  <c:v>Autres Fonds privés : mécénat et fondations</c:v>
                </c:pt>
                <c:pt idx="3">
                  <c:v>Autres Fonds privés : prix</c:v>
                </c:pt>
                <c:pt idx="4">
                  <c:v>Autres Fonds privés : ventes aux enchères</c:v>
                </c:pt>
                <c:pt idx="5">
                  <c:v>Subventions et autres concours publics</c:v>
                </c:pt>
                <c:pt idx="6">
                  <c:v>Autres produits</c:v>
                </c:pt>
                <c:pt idx="7">
                  <c:v>Reprises de provisions</c:v>
                </c:pt>
                <c:pt idx="8">
                  <c:v>Insuffisance des ressources de l'exercice</c:v>
                </c:pt>
              </c:strCache>
            </c:strRef>
          </c:cat>
          <c:val>
            <c:numRef>
              <c:f>Graph!$C$15:$C$23</c:f>
              <c:numCache>
                <c:formatCode>0.0%</c:formatCode>
                <c:ptCount val="9"/>
                <c:pt idx="0">
                  <c:v>6.9930704189518494E-2</c:v>
                </c:pt>
                <c:pt idx="1">
                  <c:v>0.19838379855244223</c:v>
                </c:pt>
                <c:pt idx="2">
                  <c:v>0.20331300623285806</c:v>
                </c:pt>
                <c:pt idx="3">
                  <c:v>5.9927344331737568E-2</c:v>
                </c:pt>
                <c:pt idx="4">
                  <c:v>8.9783884773354892E-4</c:v>
                </c:pt>
                <c:pt idx="5">
                  <c:v>0.39978846134758722</c:v>
                </c:pt>
                <c:pt idx="6">
                  <c:v>9.1821978957710038E-3</c:v>
                </c:pt>
                <c:pt idx="7">
                  <c:v>5.8576648602351782E-2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8EC-E346-B7D3-FF5CD1F60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1-94AF-A445-BE28-4D7126B215D5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3-94AF-A445-BE28-4D7126B215D5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5-94AF-A445-BE28-4D7126B215D5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7-94AF-A445-BE28-4D7126B215D5}"/>
              </c:ext>
            </c:extLst>
          </c:dPt>
          <c:dPt>
            <c:idx val="4"/>
            <c:bubble3D val="0"/>
            <c:spPr/>
            <c:extLst>
              <c:ext xmlns:c16="http://schemas.microsoft.com/office/drawing/2014/chart" uri="{C3380CC4-5D6E-409C-BE32-E72D297353CC}">
                <c16:uniqueId val="{00000009-94AF-A445-BE28-4D7126B215D5}"/>
              </c:ext>
            </c:extLst>
          </c:dPt>
          <c:dLbls>
            <c:dLbl>
              <c:idx val="3"/>
              <c:layout>
                <c:manualLayout>
                  <c:x val="2.8130502674507457E-3"/>
                  <c:y val="7.5877690288713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AF-A445-BE28-4D7126B215D5}"/>
                </c:ext>
              </c:extLst>
            </c:dLbl>
            <c:spPr>
              <a:solidFill>
                <a:schemeClr val="bg1"/>
              </a:solidFill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pour Rapport activité'!$A$4:$A$7</c:f>
              <c:strCache>
                <c:ptCount val="4"/>
                <c:pt idx="0">
                  <c:v>Mission and mandate</c:v>
                </c:pt>
                <c:pt idx="1">
                  <c:v>Fundraising</c:v>
                </c:pt>
                <c:pt idx="2">
                  <c:v>Overhead costs</c:v>
                </c:pt>
                <c:pt idx="3">
                  <c:v>Provisions</c:v>
                </c:pt>
              </c:strCache>
            </c:strRef>
          </c:cat>
          <c:val>
            <c:numRef>
              <c:f>'Graph pour Rapport activité'!$C$4:$C$7</c:f>
              <c:numCache>
                <c:formatCode>0%</c:formatCode>
                <c:ptCount val="4"/>
                <c:pt idx="0">
                  <c:v>0.82844207646069146</c:v>
                </c:pt>
                <c:pt idx="1">
                  <c:v>8.0267839589528878E-2</c:v>
                </c:pt>
                <c:pt idx="2">
                  <c:v>6.5272350526167255E-2</c:v>
                </c:pt>
                <c:pt idx="3">
                  <c:v>7.0566339338661663E-3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AF-A445-BE28-4D7126B215D5}"/>
            </c:ext>
          </c:extLst>
        </c:ser>
        <c:ser>
          <c:idx val="1"/>
          <c:order val="1"/>
          <c:spPr>
            <a:gradFill rotWithShape="0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C-94AF-A445-BE28-4D7126B215D5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E-94AF-A445-BE28-4D7126B215D5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10-94AF-A445-BE28-4D7126B215D5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12-94AF-A445-BE28-4D7126B215D5}"/>
              </c:ext>
            </c:extLst>
          </c:dPt>
          <c:dPt>
            <c:idx val="4"/>
            <c:bubble3D val="0"/>
            <c:spPr/>
            <c:extLst>
              <c:ext xmlns:c16="http://schemas.microsoft.com/office/drawing/2014/chart" uri="{C3380CC4-5D6E-409C-BE32-E72D297353CC}">
                <c16:uniqueId val="{00000014-94AF-A445-BE28-4D7126B215D5}"/>
              </c:ext>
            </c:extLst>
          </c:dPt>
          <c:cat>
            <c:strRef>
              <c:f>'Graph pour Rapport activité'!$A$4:$A$7</c:f>
              <c:strCache>
                <c:ptCount val="4"/>
                <c:pt idx="0">
                  <c:v>Mission and mandate</c:v>
                </c:pt>
                <c:pt idx="1">
                  <c:v>Fundraising</c:v>
                </c:pt>
                <c:pt idx="2">
                  <c:v>Overhead costs</c:v>
                </c:pt>
                <c:pt idx="3">
                  <c:v>Provisions</c:v>
                </c:pt>
              </c:strCache>
            </c:strRef>
          </c:cat>
          <c:val>
            <c:numRef>
              <c:f>'Graph pour Rapport activité'!$C$4:$C$7</c:f>
              <c:numCache>
                <c:formatCode>0%</c:formatCode>
                <c:ptCount val="4"/>
                <c:pt idx="0">
                  <c:v>0.82844207646069146</c:v>
                </c:pt>
                <c:pt idx="1">
                  <c:v>8.0267839589528878E-2</c:v>
                </c:pt>
                <c:pt idx="2">
                  <c:v>6.5272350526167255E-2</c:v>
                </c:pt>
                <c:pt idx="3">
                  <c:v>7.0566339338661663E-3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4AF-A445-BE28-4D7126B21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481057367828997"/>
          <c:y val="8.6262561774372803E-2"/>
          <c:w val="0.22684848143982"/>
          <c:h val="0.65742876735002698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1-EEA4-204A-9CC2-E3E712CE086C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3-EEA4-204A-9CC2-E3E712CE086C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5-EEA4-204A-9CC2-E3E712CE086C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7-EEA4-204A-9CC2-E3E712CE086C}"/>
              </c:ext>
            </c:extLst>
          </c:dPt>
          <c:dPt>
            <c:idx val="4"/>
            <c:bubble3D val="0"/>
            <c:spPr/>
            <c:extLst>
              <c:ext xmlns:c16="http://schemas.microsoft.com/office/drawing/2014/chart" uri="{C3380CC4-5D6E-409C-BE32-E72D297353CC}">
                <c16:uniqueId val="{00000009-EEA4-204A-9CC2-E3E712CE086C}"/>
              </c:ext>
            </c:extLst>
          </c:dPt>
          <c:dPt>
            <c:idx val="5"/>
            <c:bubble3D val="0"/>
            <c:spPr/>
            <c:extLst>
              <c:ext xmlns:c16="http://schemas.microsoft.com/office/drawing/2014/chart" uri="{C3380CC4-5D6E-409C-BE32-E72D297353CC}">
                <c16:uniqueId val="{0000000B-EEA4-204A-9CC2-E3E712CE086C}"/>
              </c:ext>
            </c:extLst>
          </c:dPt>
          <c:dPt>
            <c:idx val="6"/>
            <c:bubble3D val="0"/>
            <c:spPr>
              <a:solidFill>
                <a:schemeClr val="bg2">
                  <a:lumMod val="50000"/>
                </a:schemeClr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EA4-204A-9CC2-E3E712CE086C}"/>
              </c:ext>
            </c:extLst>
          </c:dPt>
          <c:dPt>
            <c:idx val="7"/>
            <c:bubble3D val="0"/>
            <c:spPr>
              <a:solidFill>
                <a:srgbClr val="0080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EA4-204A-9CC2-E3E712CE086C}"/>
              </c:ext>
            </c:extLst>
          </c:dPt>
          <c:dPt>
            <c:idx val="8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EA4-204A-9CC2-E3E712CE086C}"/>
              </c:ext>
            </c:extLst>
          </c:dPt>
          <c:dLbls>
            <c:dLbl>
              <c:idx val="0"/>
              <c:layout>
                <c:manualLayout>
                  <c:x val="-3.7787512476433457E-2"/>
                  <c:y val="8.0900557960056324E-2"/>
                </c:manualLayout>
              </c:layout>
              <c:numFmt formatCode="0%" sourceLinked="0"/>
              <c:spPr>
                <a:solidFill>
                  <a:schemeClr val="bg1"/>
                </a:solidFill>
                <a:effectLst>
                  <a:outerShdw blurRad="50800" dist="38100" dir="2700000" algn="tl" rotWithShape="0">
                    <a:srgbClr val="000000">
                      <a:alpha val="43000"/>
                    </a:srgbClr>
                  </a:outerShdw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A4-204A-9CC2-E3E712CE086C}"/>
                </c:ext>
              </c:extLst>
            </c:dLbl>
            <c:dLbl>
              <c:idx val="1"/>
              <c:layout>
                <c:manualLayout>
                  <c:x val="-0.10437651103471221"/>
                  <c:y val="-1.8311258278145694E-2"/>
                </c:manualLayout>
              </c:layout>
              <c:numFmt formatCode="0%" sourceLinked="0"/>
              <c:spPr>
                <a:solidFill>
                  <a:schemeClr val="bg1"/>
                </a:solidFill>
                <a:effectLst>
                  <a:outerShdw blurRad="50800" dist="38100" dir="2700000" algn="tl" rotWithShape="0">
                    <a:srgbClr val="000000">
                      <a:alpha val="43000"/>
                    </a:srgbClr>
                  </a:outerShdw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A4-204A-9CC2-E3E712CE086C}"/>
                </c:ext>
              </c:extLst>
            </c:dLbl>
            <c:dLbl>
              <c:idx val="2"/>
              <c:layout>
                <c:manualLayout>
                  <c:x val="-1.4037817455916602E-2"/>
                  <c:y val="-0.1380393179329405"/>
                </c:manualLayout>
              </c:layout>
              <c:numFmt formatCode="0%" sourceLinked="0"/>
              <c:spPr>
                <a:solidFill>
                  <a:schemeClr val="bg1"/>
                </a:solidFill>
                <a:effectLst>
                  <a:outerShdw blurRad="50800" dist="38100" dir="2700000" algn="tl" rotWithShape="0">
                    <a:srgbClr val="000000">
                      <a:alpha val="43000"/>
                    </a:srgbClr>
                  </a:outerShdw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A4-204A-9CC2-E3E712CE086C}"/>
                </c:ext>
              </c:extLst>
            </c:dLbl>
            <c:dLbl>
              <c:idx val="3"/>
              <c:layout>
                <c:manualLayout>
                  <c:x val="4.8547915995690902E-2"/>
                  <c:y val="-0.132723744039037"/>
                </c:manualLayout>
              </c:layout>
              <c:numFmt formatCode="0%" sourceLinked="0"/>
              <c:spPr>
                <a:solidFill>
                  <a:schemeClr val="bg1"/>
                </a:solidFill>
                <a:effectLst>
                  <a:outerShdw blurRad="50800" dist="38100" dir="2700000" algn="tl" rotWithShape="0">
                    <a:srgbClr val="000000">
                      <a:alpha val="43000"/>
                    </a:srgbClr>
                  </a:outerShdw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A4-204A-9CC2-E3E712CE086C}"/>
                </c:ext>
              </c:extLst>
            </c:dLbl>
            <c:dLbl>
              <c:idx val="4"/>
              <c:layout>
                <c:manualLayout>
                  <c:x val="3.5673505600532278E-2"/>
                  <c:y val="9.9783334202429991E-2"/>
                </c:manualLayout>
              </c:layout>
              <c:numFmt formatCode="0%" sourceLinked="0"/>
              <c:spPr>
                <a:solidFill>
                  <a:schemeClr val="bg1"/>
                </a:solidFill>
                <a:effectLst>
                  <a:outerShdw blurRad="50800" dist="38100" dir="2700000" algn="tl" rotWithShape="0">
                    <a:srgbClr val="000000">
                      <a:alpha val="43000"/>
                    </a:srgbClr>
                  </a:outerShdw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A4-204A-9CC2-E3E712CE086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A4-204A-9CC2-E3E712CE086C}"/>
                </c:ext>
              </c:extLst>
            </c:dLbl>
            <c:numFmt formatCode="0%" sourceLinked="0"/>
            <c:spPr>
              <a:solidFill>
                <a:schemeClr val="bg1"/>
              </a:solidFill>
              <a:effectLst>
                <a:outerShdw blurRad="50800" dist="38100" dir="2700000" algn="tl" rotWithShape="0">
                  <a:srgbClr val="000000">
                    <a:alpha val="43000"/>
                  </a:srgbClr>
                </a:outerShdw>
              </a:effectLst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 pour Rapport activité'!$A$14:$A$20</c:f>
              <c:strCache>
                <c:ptCount val="7"/>
                <c:pt idx="0">
                  <c:v>General public</c:v>
                </c:pt>
                <c:pt idx="1">
                  <c:v>Commercial activity</c:v>
                </c:pt>
                <c:pt idx="2">
                  <c:v>Foundations and private sector</c:v>
                </c:pt>
                <c:pt idx="3">
                  <c:v>State sector grants</c:v>
                </c:pt>
                <c:pt idx="4">
                  <c:v>Other incomes</c:v>
                </c:pt>
                <c:pt idx="5">
                  <c:v>Reversal of provisions</c:v>
                </c:pt>
                <c:pt idx="6">
                  <c:v>Auctions</c:v>
                </c:pt>
              </c:strCache>
            </c:strRef>
          </c:cat>
          <c:val>
            <c:numRef>
              <c:f>'Graph pour Rapport activité'!$C$14:$C$20</c:f>
              <c:numCache>
                <c:formatCode>0%</c:formatCode>
                <c:ptCount val="7"/>
                <c:pt idx="0">
                  <c:v>6.9930704189518494E-2</c:v>
                </c:pt>
                <c:pt idx="1">
                  <c:v>0.19838379855244223</c:v>
                </c:pt>
                <c:pt idx="2">
                  <c:v>0.2632403505645956</c:v>
                </c:pt>
                <c:pt idx="3">
                  <c:v>0.39978846134758722</c:v>
                </c:pt>
                <c:pt idx="4">
                  <c:v>9.1821978957710038E-3</c:v>
                </c:pt>
                <c:pt idx="5">
                  <c:v>5.8576648602351782E-2</c:v>
                </c:pt>
                <c:pt idx="6">
                  <c:v>8.9783884773354892E-4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EA4-204A-9CC2-E3E712CE086C}"/>
            </c:ext>
          </c:extLst>
        </c:ser>
        <c:ser>
          <c:idx val="1"/>
          <c:order val="1"/>
          <c:spPr>
            <a:gradFill rotWithShape="0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14-EEA4-204A-9CC2-E3E712CE086C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16-EEA4-204A-9CC2-E3E712CE086C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18-EEA4-204A-9CC2-E3E712CE086C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1A-EEA4-204A-9CC2-E3E712CE086C}"/>
              </c:ext>
            </c:extLst>
          </c:dPt>
          <c:dPt>
            <c:idx val="4"/>
            <c:bubble3D val="0"/>
            <c:spPr/>
            <c:extLst>
              <c:ext xmlns:c16="http://schemas.microsoft.com/office/drawing/2014/chart" uri="{C3380CC4-5D6E-409C-BE32-E72D297353CC}">
                <c16:uniqueId val="{0000001C-EEA4-204A-9CC2-E3E712CE086C}"/>
              </c:ext>
            </c:extLst>
          </c:dPt>
          <c:dPt>
            <c:idx val="5"/>
            <c:bubble3D val="0"/>
            <c:spPr/>
            <c:extLst>
              <c:ext xmlns:c16="http://schemas.microsoft.com/office/drawing/2014/chart" uri="{C3380CC4-5D6E-409C-BE32-E72D297353CC}">
                <c16:uniqueId val="{0000001E-EEA4-204A-9CC2-E3E712CE086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F-EEA4-204A-9CC2-E3E712CE086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0-EEA4-204A-9CC2-E3E712CE086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1-EEA4-204A-9CC2-E3E712CE086C}"/>
              </c:ext>
            </c:extLst>
          </c:dPt>
          <c:cat>
            <c:strRef>
              <c:f>'Graph pour Rapport activité'!$A$14:$A$20</c:f>
              <c:strCache>
                <c:ptCount val="7"/>
                <c:pt idx="0">
                  <c:v>General public</c:v>
                </c:pt>
                <c:pt idx="1">
                  <c:v>Commercial activity</c:v>
                </c:pt>
                <c:pt idx="2">
                  <c:v>Foundations and private sector</c:v>
                </c:pt>
                <c:pt idx="3">
                  <c:v>State sector grants</c:v>
                </c:pt>
                <c:pt idx="4">
                  <c:v>Other incomes</c:v>
                </c:pt>
                <c:pt idx="5">
                  <c:v>Reversal of provisions</c:v>
                </c:pt>
                <c:pt idx="6">
                  <c:v>Auctions</c:v>
                </c:pt>
              </c:strCache>
            </c:strRef>
          </c:cat>
          <c:val>
            <c:numRef>
              <c:f>'Graph pour Rapport activité'!$C$14:$C$20</c:f>
              <c:numCache>
                <c:formatCode>0%</c:formatCode>
                <c:ptCount val="7"/>
                <c:pt idx="0">
                  <c:v>6.9930704189518494E-2</c:v>
                </c:pt>
                <c:pt idx="1">
                  <c:v>0.19838379855244223</c:v>
                </c:pt>
                <c:pt idx="2">
                  <c:v>0.2632403505645956</c:v>
                </c:pt>
                <c:pt idx="3">
                  <c:v>0.39978846134758722</c:v>
                </c:pt>
                <c:pt idx="4">
                  <c:v>9.1821978957710038E-3</c:v>
                </c:pt>
                <c:pt idx="5">
                  <c:v>5.8576648602351782E-2</c:v>
                </c:pt>
                <c:pt idx="6">
                  <c:v>8.9783884773354892E-4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EA4-204A-9CC2-E3E712CE0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368300</xdr:colOff>
      <xdr:row>1</xdr:row>
      <xdr:rowOff>139700</xdr:rowOff>
    </xdr:from>
    <xdr:to>
      <xdr:col>16</xdr:col>
      <xdr:colOff>317500</xdr:colOff>
      <xdr:row>22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25</xdr:row>
      <xdr:rowOff>76200</xdr:rowOff>
    </xdr:from>
    <xdr:to>
      <xdr:col>16</xdr:col>
      <xdr:colOff>317500</xdr:colOff>
      <xdr:row>43</xdr:row>
      <xdr:rowOff>63500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368300</xdr:colOff>
      <xdr:row>1</xdr:row>
      <xdr:rowOff>139700</xdr:rowOff>
    </xdr:from>
    <xdr:to>
      <xdr:col>16</xdr:col>
      <xdr:colOff>317500</xdr:colOff>
      <xdr:row>19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2A7C4B3-ACAB-384B-826B-A0619B8C3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419100</xdr:colOff>
      <xdr:row>22</xdr:row>
      <xdr:rowOff>88900</xdr:rowOff>
    </xdr:from>
    <xdr:to>
      <xdr:col>16</xdr:col>
      <xdr:colOff>355600</xdr:colOff>
      <xdr:row>40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95ADE2F-253F-484B-B4D3-3B309B85D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Partage/Administration/Finances/CF%202019/CLOTURE%202019/CER/GLana_31122019_VDEF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ana_31122019"/>
      <sheetName val="TCD"/>
      <sheetName val="VERIF_repartsalaires"/>
    </sheetNames>
    <sheetDataSet>
      <sheetData sheetId="0"/>
      <sheetData sheetId="1">
        <row r="305">
          <cell r="C305">
            <v>-3543063.4953909256</v>
          </cell>
          <cell r="D305">
            <v>-545470.80000000005</v>
          </cell>
          <cell r="E305">
            <v>-1632248.3228062741</v>
          </cell>
          <cell r="F305">
            <v>-225674.10613691801</v>
          </cell>
          <cell r="G305">
            <v>-164488.28828854926</v>
          </cell>
          <cell r="H305">
            <v>-164124.83285517909</v>
          </cell>
          <cell r="I305">
            <v>-48729.380000000005</v>
          </cell>
          <cell r="J305">
            <v>-450736.31452215393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2543.42038171296" createdVersion="6" refreshedVersion="6" minRefreshableVersion="3" recordCount="53" xr:uid="{A9081D76-0091-BB42-970E-6C31E0C426C5}">
  <cacheSource type="worksheet">
    <worksheetSource ref="A11:D64" sheet="Ressources 31122019"/>
  </cacheSource>
  <cacheFields count="4">
    <cacheField name="Compte" numFmtId="0">
      <sharedItems containsSemiMixedTypes="0" containsString="0" containsNumber="1" containsInteger="1" minValue="706202" maxValue="791004"/>
    </cacheField>
    <cacheField name="Libellé" numFmtId="0">
      <sharedItems/>
    </cacheField>
    <cacheField name="Solde €" numFmtId="4">
      <sharedItems containsSemiMixedTypes="0" containsString="0" containsNumber="1" minValue="-2245702.9300000002" maxValue="2245702.9300000002"/>
    </cacheField>
    <cacheField name="Classification CER" numFmtId="0">
      <sharedItems count="13">
        <s v="- Publications et produits dérivés"/>
        <s v="- Ventes aux enchères"/>
        <s v="Refacturations RSF International"/>
        <s v="Autres produits (droits auteurs, escapade, ...)"/>
        <s v="3. SUBVENTIONS ET AUTRES CONCOURS PUBLICS"/>
        <s v="RECLASSEMENT"/>
        <s v="- Mécénat et Fondations"/>
        <s v=" - dons manuels NON affectés (dont cotisations)"/>
        <s v="- legs et autres libéralités NON affectés"/>
        <s v="- Prix (prix reçus)"/>
        <s v="Produits financiers, exceptionnels, année ant. Et transfert de charges"/>
        <s v="II - REPRISES DES PROVISIONS"/>
        <s v="'- Mécénat et Fondation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">
  <r>
    <n v="706202"/>
    <s v="Ventes Albums Export"/>
    <n v="-7637.81"/>
    <x v="0"/>
  </r>
  <r>
    <n v="706211"/>
    <s v="Vente Albums Intracom"/>
    <n v="-35531.669999999991"/>
    <x v="0"/>
  </r>
  <r>
    <n v="706212"/>
    <s v="Vente Nmpp albums 5,5%"/>
    <n v="-781694.76"/>
    <x v="0"/>
  </r>
  <r>
    <n v="706213"/>
    <s v="Album grde surfaces 5,5"/>
    <n v="-242073.53000000003"/>
    <x v="0"/>
  </r>
  <r>
    <n v="706219"/>
    <s v="Vente Albums 5,5%"/>
    <n v="-63674.3"/>
    <x v="0"/>
  </r>
  <r>
    <n v="707001"/>
    <s v="ventes aux encheres"/>
    <n v="-6200"/>
    <x v="1"/>
  </r>
  <r>
    <n v="707002"/>
    <s v="Objets Promotionnels 20%"/>
    <n v="-6782.1"/>
    <x v="0"/>
  </r>
  <r>
    <n v="707011"/>
    <s v="T-Shirts "/>
    <n v="-183.08"/>
    <x v="0"/>
  </r>
  <r>
    <n v="708400"/>
    <s v="Mise … dispo personnel rsfi"/>
    <n v="-50000"/>
    <x v="2"/>
  </r>
  <r>
    <n v="708500"/>
    <s v="Port France - Franco de port"/>
    <n v="-54.46"/>
    <x v="0"/>
  </r>
  <r>
    <n v="708501"/>
    <s v="Port soumis … 5,5%"/>
    <n v="-17332.77"/>
    <x v="0"/>
  </r>
  <r>
    <n v="708502"/>
    <s v="Port soumis … 20%"/>
    <n v="-81.209999999999994"/>
    <x v="0"/>
  </r>
  <r>
    <n v="708503"/>
    <s v="Port Intracom"/>
    <n v="-85.1"/>
    <x v="0"/>
  </r>
  <r>
    <n v="708504"/>
    <s v="Port Export (et DOM-TOM pour LAD)"/>
    <n v="-1263.48"/>
    <x v="0"/>
  </r>
  <r>
    <n v="708801"/>
    <s v="Autres pdts act. annexes Recherche"/>
    <n v="-587.5"/>
    <x v="3"/>
  </r>
  <r>
    <n v="708802"/>
    <s v="Autres pdts act. annexes Subvention"/>
    <n v="-43441.19"/>
    <x v="4"/>
  </r>
  <r>
    <n v="709613"/>
    <s v="Avoir publi grdes surfaces 5,5"/>
    <n v="5264.94"/>
    <x v="0"/>
  </r>
  <r>
    <n v="709624"/>
    <s v="Avoir publications Export"/>
    <n v="18835.32"/>
    <x v="0"/>
  </r>
  <r>
    <n v="713550"/>
    <s v="Variation stock Prod. finis"/>
    <n v="-28729.38"/>
    <x v="0"/>
  </r>
  <r>
    <n v="741000"/>
    <s v="Autres Subventions"/>
    <n v="-210700"/>
    <x v="5"/>
  </r>
  <r>
    <n v="741000"/>
    <s v="Autres Subventions"/>
    <n v="210700"/>
    <x v="5"/>
  </r>
  <r>
    <n v="741000"/>
    <s v="Autres Subventions"/>
    <n v="-110700"/>
    <x v="4"/>
  </r>
  <r>
    <n v="741000"/>
    <s v="Autres Subventions"/>
    <n v="-100000"/>
    <x v="6"/>
  </r>
  <r>
    <n v="741200"/>
    <s v="Contrats Orga Intern OIF / UE"/>
    <n v="-427135.53"/>
    <x v="4"/>
  </r>
  <r>
    <n v="741400"/>
    <s v="Contrats MinistŠres1ER MINISTRE AFD"/>
    <n v="-781131.61"/>
    <x v="4"/>
  </r>
  <r>
    <n v="741800"/>
    <s v="Subventions internationales"/>
    <n v="-2245702.9300000002"/>
    <x v="5"/>
  </r>
  <r>
    <n v="741800"/>
    <s v="Subventions internationales"/>
    <n v="2245702.9300000002"/>
    <x v="5"/>
  </r>
  <r>
    <n v="741800"/>
    <s v="Subventions internationales"/>
    <n v="-1013730.89"/>
    <x v="4"/>
  </r>
  <r>
    <n v="741800"/>
    <s v="Subventions internationales"/>
    <n v="-1231972.04"/>
    <x v="6"/>
  </r>
  <r>
    <n v="751000"/>
    <s v="Droits d'auteur"/>
    <n v="-1429.09"/>
    <x v="0"/>
  </r>
  <r>
    <n v="751100"/>
    <s v="Royalties 20%"/>
    <n v="-907.79999999999973"/>
    <x v="0"/>
  </r>
  <r>
    <n v="751101"/>
    <s v="Royalties sans TVA - Hors CEE"/>
    <n v="-4151"/>
    <x v="0"/>
  </r>
  <r>
    <n v="758000"/>
    <s v="Produits divers sans TVA"/>
    <n v="-16488.28"/>
    <x v="3"/>
  </r>
  <r>
    <n v="758011"/>
    <s v="Produits pub album 20%"/>
    <n v="-152228"/>
    <x v="0"/>
  </r>
  <r>
    <n v="758020"/>
    <s v="Produits pub album CEE"/>
    <n v="-14999"/>
    <x v="0"/>
  </r>
  <r>
    <n v="758098"/>
    <s v="Dons CEE avec RF"/>
    <n v="-1695"/>
    <x v="0"/>
  </r>
  <r>
    <n v="758099"/>
    <s v="Dons sans RF"/>
    <n v="-31319.419999999991"/>
    <x v="7"/>
  </r>
  <r>
    <n v="758100"/>
    <s v="Dons"/>
    <n v="-148308.64000000001"/>
    <x v="7"/>
  </r>
  <r>
    <n v="758108"/>
    <s v="SG carte caritative"/>
    <n v="-35195.259999999995"/>
    <x v="0"/>
  </r>
  <r>
    <n v="758109"/>
    <s v="Don en ligne "/>
    <n v="-270045.38"/>
    <x v="7"/>
  </r>
  <r>
    <n v="758150"/>
    <s v="Legs"/>
    <n v="-10000"/>
    <x v="8"/>
  </r>
  <r>
    <n v="758200"/>
    <s v="M‚c‚nat entreprises fr (RF)"/>
    <n v="-72000"/>
    <x v="6"/>
  </r>
  <r>
    <n v="758300"/>
    <s v="Partenariat Prix"/>
    <n v="-413826.53"/>
    <x v="9"/>
  </r>
  <r>
    <n v="758560"/>
    <s v="Cotisations"/>
    <n v="-21506"/>
    <x v="7"/>
  </r>
  <r>
    <n v="758561"/>
    <s v="Cotisations etrangeres"/>
    <n v="-30"/>
    <x v="7"/>
  </r>
  <r>
    <n v="761000"/>
    <s v="Pdts financiers"/>
    <n v="-601.41"/>
    <x v="3"/>
  </r>
  <r>
    <n v="766000"/>
    <s v="Gain de change"/>
    <n v="-5001.87"/>
    <x v="3"/>
  </r>
  <r>
    <n v="775200"/>
    <s v="PCEA - Immos corporelles"/>
    <n v="-737.5"/>
    <x v="10"/>
  </r>
  <r>
    <n v="781730"/>
    <s v="Reprise s/prov d‚pr. stocks"/>
    <n v="-334418.88"/>
    <x v="11"/>
  </r>
  <r>
    <n v="781740"/>
    <s v="reprise prov clients"/>
    <n v="-40080.46"/>
    <x v="11"/>
  </r>
  <r>
    <n v="786620"/>
    <s v="Reprise Pov. &amp; D‚p. Immo. Fi"/>
    <n v="-30000"/>
    <x v="11"/>
  </r>
  <r>
    <n v="791002"/>
    <s v="Remboursement cpam"/>
    <n v="10009.16"/>
    <x v="3"/>
  </r>
  <r>
    <n v="791004"/>
    <s v="Transfert de charge Erena"/>
    <n v="-384588.35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1E2C26-48CE-0141-BAB8-8BF2373630D2}" name="Tableau croisé dynamique1" cacheId="2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G1:H14" firstHeaderRow="1" firstDataRow="1" firstDataCol="1"/>
  <pivotFields count="4">
    <pivotField showAll="0"/>
    <pivotField showAll="0"/>
    <pivotField dataField="1" numFmtId="4" showAll="0"/>
    <pivotField axis="axisRow" showAll="0">
      <items count="14">
        <item x="7"/>
        <item x="8"/>
        <item x="6"/>
        <item x="9"/>
        <item x="0"/>
        <item x="1"/>
        <item m="1" x="12"/>
        <item x="4"/>
        <item x="3"/>
        <item x="11"/>
        <item x="10"/>
        <item x="5"/>
        <item x="2"/>
        <item t="default"/>
      </items>
    </pivotField>
  </pivotFields>
  <rowFields count="1">
    <field x="3"/>
  </rowFields>
  <rowItems count="13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omme de Solde €" fld="2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94"/>
  <sheetViews>
    <sheetView topLeftCell="A69" zoomScaleNormal="100" zoomScalePageLayoutView="150" workbookViewId="0">
      <selection activeCell="C87" sqref="C87"/>
    </sheetView>
  </sheetViews>
  <sheetFormatPr baseColWidth="10" defaultRowHeight="16"/>
  <cols>
    <col min="2" max="2" width="33" customWidth="1"/>
    <col min="3" max="3" width="21.6640625" customWidth="1"/>
  </cols>
  <sheetData>
    <row r="2" spans="1:4">
      <c r="A2" s="223">
        <v>603700</v>
      </c>
      <c r="B2" s="224" t="s">
        <v>317</v>
      </c>
      <c r="C2" s="225">
        <v>-334418.88</v>
      </c>
      <c r="D2" t="str">
        <f>+LEFT(A2,1)</f>
        <v>6</v>
      </c>
    </row>
    <row r="3" spans="1:4">
      <c r="A3" s="223">
        <v>604001</v>
      </c>
      <c r="B3" s="224" t="s">
        <v>0</v>
      </c>
      <c r="C3" s="225">
        <v>-45984</v>
      </c>
      <c r="D3" t="str">
        <f t="shared" ref="D3:D66" si="0">+LEFT(A3,1)</f>
        <v>6</v>
      </c>
    </row>
    <row r="4" spans="1:4">
      <c r="A4" s="223">
        <v>604002</v>
      </c>
      <c r="B4" s="224" t="s">
        <v>318</v>
      </c>
      <c r="C4" s="225">
        <v>-124151.4</v>
      </c>
      <c r="D4" t="str">
        <f t="shared" si="0"/>
        <v>6</v>
      </c>
    </row>
    <row r="5" spans="1:4">
      <c r="A5" s="223">
        <v>604003</v>
      </c>
      <c r="B5" s="224" t="s">
        <v>319</v>
      </c>
      <c r="C5" s="225">
        <v>-135688.01</v>
      </c>
      <c r="D5" t="str">
        <f t="shared" si="0"/>
        <v>6</v>
      </c>
    </row>
    <row r="6" spans="1:4">
      <c r="A6" s="223">
        <v>604004</v>
      </c>
      <c r="B6" s="224" t="s">
        <v>320</v>
      </c>
      <c r="C6" s="225">
        <v>-6699.36</v>
      </c>
      <c r="D6" t="str">
        <f t="shared" si="0"/>
        <v>6</v>
      </c>
    </row>
    <row r="7" spans="1:4">
      <c r="A7" s="223">
        <v>604005</v>
      </c>
      <c r="B7" s="224" t="s">
        <v>244</v>
      </c>
      <c r="C7" s="225">
        <v>-4662.28</v>
      </c>
      <c r="D7" t="str">
        <f t="shared" si="0"/>
        <v>6</v>
      </c>
    </row>
    <row r="8" spans="1:4">
      <c r="A8" s="223">
        <v>604006</v>
      </c>
      <c r="B8" s="224" t="s">
        <v>321</v>
      </c>
      <c r="C8" s="225">
        <v>-28052.510000000002</v>
      </c>
      <c r="D8" t="str">
        <f t="shared" si="0"/>
        <v>6</v>
      </c>
    </row>
    <row r="9" spans="1:4">
      <c r="A9" s="223">
        <v>604008</v>
      </c>
      <c r="B9" s="224" t="s">
        <v>322</v>
      </c>
      <c r="C9" s="225">
        <v>-1159.06</v>
      </c>
      <c r="D9" t="str">
        <f t="shared" si="0"/>
        <v>6</v>
      </c>
    </row>
    <row r="10" spans="1:4">
      <c r="A10" s="223">
        <v>604009</v>
      </c>
      <c r="B10" s="224" t="s">
        <v>249</v>
      </c>
      <c r="C10" s="225">
        <v>-1926.7</v>
      </c>
      <c r="D10" t="str">
        <f t="shared" si="0"/>
        <v>6</v>
      </c>
    </row>
    <row r="11" spans="1:4">
      <c r="A11" s="223">
        <v>604010</v>
      </c>
      <c r="B11" s="224" t="s">
        <v>323</v>
      </c>
      <c r="C11" s="225">
        <v>-123279.69</v>
      </c>
      <c r="D11" t="str">
        <f t="shared" si="0"/>
        <v>6</v>
      </c>
    </row>
    <row r="12" spans="1:4">
      <c r="A12" s="223">
        <v>604014</v>
      </c>
      <c r="B12" s="224" t="s">
        <v>324</v>
      </c>
      <c r="C12" s="225">
        <v>-42978.21</v>
      </c>
      <c r="D12" t="str">
        <f t="shared" si="0"/>
        <v>6</v>
      </c>
    </row>
    <row r="13" spans="1:4">
      <c r="A13" s="223">
        <v>604015</v>
      </c>
      <c r="B13" s="224" t="s">
        <v>325</v>
      </c>
      <c r="C13" s="225">
        <v>-15000</v>
      </c>
      <c r="D13" t="str">
        <f t="shared" si="0"/>
        <v>6</v>
      </c>
    </row>
    <row r="14" spans="1:4">
      <c r="A14" s="223">
        <v>604016</v>
      </c>
      <c r="B14" s="224" t="s">
        <v>326</v>
      </c>
      <c r="C14" s="225">
        <v>-81963.12</v>
      </c>
      <c r="D14" t="str">
        <f t="shared" si="0"/>
        <v>6</v>
      </c>
    </row>
    <row r="15" spans="1:4">
      <c r="A15" s="223">
        <v>604017</v>
      </c>
      <c r="B15" s="224" t="s">
        <v>327</v>
      </c>
      <c r="C15" s="225">
        <v>-13211.2</v>
      </c>
      <c r="D15" t="str">
        <f t="shared" si="0"/>
        <v>6</v>
      </c>
    </row>
    <row r="16" spans="1:4">
      <c r="A16" s="223">
        <v>604018</v>
      </c>
      <c r="B16" s="224" t="s">
        <v>328</v>
      </c>
      <c r="C16" s="225">
        <v>-26484</v>
      </c>
      <c r="D16" t="str">
        <f t="shared" si="0"/>
        <v>6</v>
      </c>
    </row>
    <row r="17" spans="1:4">
      <c r="A17" s="223">
        <v>604019</v>
      </c>
      <c r="B17" s="224" t="s">
        <v>329</v>
      </c>
      <c r="C17" s="225">
        <v>-22257.46</v>
      </c>
      <c r="D17" t="str">
        <f t="shared" si="0"/>
        <v>6</v>
      </c>
    </row>
    <row r="18" spans="1:4">
      <c r="A18" s="223">
        <v>605100</v>
      </c>
      <c r="B18" s="224" t="s">
        <v>1</v>
      </c>
      <c r="C18" s="225">
        <v>-9481.2000000000007</v>
      </c>
      <c r="D18" t="str">
        <f t="shared" si="0"/>
        <v>6</v>
      </c>
    </row>
    <row r="19" spans="1:4">
      <c r="A19" s="223">
        <v>605200</v>
      </c>
      <c r="B19" s="224" t="s">
        <v>330</v>
      </c>
      <c r="C19" s="225">
        <v>-122.98</v>
      </c>
      <c r="D19" t="str">
        <f t="shared" si="0"/>
        <v>6</v>
      </c>
    </row>
    <row r="20" spans="1:4">
      <c r="A20" s="223">
        <v>605202</v>
      </c>
      <c r="B20" s="224" t="s">
        <v>2</v>
      </c>
      <c r="C20" s="225">
        <v>-292217.84000000003</v>
      </c>
      <c r="D20" t="str">
        <f t="shared" si="0"/>
        <v>6</v>
      </c>
    </row>
    <row r="21" spans="1:4">
      <c r="A21" s="223">
        <v>605203</v>
      </c>
      <c r="B21" s="224" t="s">
        <v>3</v>
      </c>
      <c r="C21" s="225">
        <v>-8972.1999999999989</v>
      </c>
      <c r="D21" t="str">
        <f t="shared" si="0"/>
        <v>6</v>
      </c>
    </row>
    <row r="22" spans="1:4">
      <c r="A22" s="223">
        <v>605204</v>
      </c>
      <c r="B22" s="224" t="s">
        <v>4</v>
      </c>
      <c r="C22" s="225">
        <v>-50.29</v>
      </c>
      <c r="D22" t="str">
        <f t="shared" si="0"/>
        <v>6</v>
      </c>
    </row>
    <row r="23" spans="1:4">
      <c r="A23" s="223">
        <v>605205</v>
      </c>
      <c r="B23" s="224" t="s">
        <v>245</v>
      </c>
      <c r="C23" s="225">
        <v>-985.56</v>
      </c>
      <c r="D23" t="str">
        <f t="shared" si="0"/>
        <v>6</v>
      </c>
    </row>
    <row r="24" spans="1:4">
      <c r="A24" s="223">
        <v>605206</v>
      </c>
      <c r="B24" s="224" t="s">
        <v>331</v>
      </c>
      <c r="C24" s="225">
        <v>-2640.17</v>
      </c>
      <c r="D24" t="str">
        <f t="shared" si="0"/>
        <v>6</v>
      </c>
    </row>
    <row r="25" spans="1:4">
      <c r="A25" s="223">
        <v>606100</v>
      </c>
      <c r="B25" s="224" t="s">
        <v>5</v>
      </c>
      <c r="C25" s="225">
        <v>-2563.2999999999997</v>
      </c>
      <c r="D25" t="str">
        <f t="shared" si="0"/>
        <v>6</v>
      </c>
    </row>
    <row r="26" spans="1:4">
      <c r="A26" s="223">
        <v>606101</v>
      </c>
      <c r="B26" s="224" t="s">
        <v>6</v>
      </c>
      <c r="C26" s="225">
        <v>2301.8100000000004</v>
      </c>
      <c r="D26" t="str">
        <f t="shared" si="0"/>
        <v>6</v>
      </c>
    </row>
    <row r="27" spans="1:4">
      <c r="A27" s="223">
        <v>606110</v>
      </c>
      <c r="B27" s="224" t="s">
        <v>7</v>
      </c>
      <c r="C27" s="225">
        <v>-152.75</v>
      </c>
      <c r="D27" t="str">
        <f t="shared" si="0"/>
        <v>6</v>
      </c>
    </row>
    <row r="28" spans="1:4">
      <c r="A28" s="223">
        <v>606300</v>
      </c>
      <c r="B28" s="224" t="s">
        <v>8</v>
      </c>
      <c r="C28" s="225">
        <v>-2471.04</v>
      </c>
      <c r="D28" t="str">
        <f t="shared" si="0"/>
        <v>6</v>
      </c>
    </row>
    <row r="29" spans="1:4">
      <c r="A29" s="223">
        <v>606301</v>
      </c>
      <c r="B29" s="224" t="s">
        <v>9</v>
      </c>
      <c r="C29" s="225">
        <v>-2338.8200000000002</v>
      </c>
      <c r="D29" t="str">
        <f t="shared" si="0"/>
        <v>6</v>
      </c>
    </row>
    <row r="30" spans="1:4">
      <c r="A30" s="223">
        <v>606302</v>
      </c>
      <c r="B30" s="224" t="s">
        <v>10</v>
      </c>
      <c r="C30" s="225">
        <v>-129.11000000000001</v>
      </c>
      <c r="D30" t="str">
        <f t="shared" si="0"/>
        <v>6</v>
      </c>
    </row>
    <row r="31" spans="1:4">
      <c r="A31" s="223">
        <v>606303</v>
      </c>
      <c r="B31" s="224" t="s">
        <v>332</v>
      </c>
      <c r="C31" s="225">
        <v>-945</v>
      </c>
      <c r="D31" t="str">
        <f t="shared" si="0"/>
        <v>6</v>
      </c>
    </row>
    <row r="32" spans="1:4">
      <c r="A32" s="223">
        <v>606304</v>
      </c>
      <c r="B32" s="224" t="s">
        <v>333</v>
      </c>
      <c r="C32" s="225">
        <v>-27.55</v>
      </c>
      <c r="D32" t="str">
        <f t="shared" si="0"/>
        <v>6</v>
      </c>
    </row>
    <row r="33" spans="1:4">
      <c r="A33" s="223">
        <v>606305</v>
      </c>
      <c r="B33" s="224" t="s">
        <v>334</v>
      </c>
      <c r="C33" s="225">
        <v>-4508.91</v>
      </c>
      <c r="D33" t="str">
        <f t="shared" si="0"/>
        <v>6</v>
      </c>
    </row>
    <row r="34" spans="1:4">
      <c r="A34" s="223">
        <v>606350</v>
      </c>
      <c r="B34" s="224" t="s">
        <v>335</v>
      </c>
      <c r="C34" s="225">
        <v>-2574.4499999999998</v>
      </c>
      <c r="D34" t="str">
        <f t="shared" si="0"/>
        <v>6</v>
      </c>
    </row>
    <row r="35" spans="1:4">
      <c r="A35" s="223">
        <v>606351</v>
      </c>
      <c r="B35" s="224" t="s">
        <v>336</v>
      </c>
      <c r="C35" s="225">
        <v>-105.12</v>
      </c>
      <c r="D35" t="str">
        <f t="shared" si="0"/>
        <v>6</v>
      </c>
    </row>
    <row r="36" spans="1:4">
      <c r="A36" s="223">
        <v>606400</v>
      </c>
      <c r="B36" s="224" t="s">
        <v>337</v>
      </c>
      <c r="C36" s="225">
        <v>-6299.88</v>
      </c>
      <c r="D36" t="str">
        <f t="shared" si="0"/>
        <v>6</v>
      </c>
    </row>
    <row r="37" spans="1:4">
      <c r="A37" s="223">
        <v>606401</v>
      </c>
      <c r="B37" s="224" t="s">
        <v>11</v>
      </c>
      <c r="C37" s="225">
        <v>-709.24</v>
      </c>
      <c r="D37" t="str">
        <f t="shared" si="0"/>
        <v>6</v>
      </c>
    </row>
    <row r="38" spans="1:4">
      <c r="A38" s="223">
        <v>606402</v>
      </c>
      <c r="B38" s="224" t="s">
        <v>12</v>
      </c>
      <c r="C38" s="225">
        <v>-133</v>
      </c>
      <c r="D38" t="str">
        <f t="shared" si="0"/>
        <v>6</v>
      </c>
    </row>
    <row r="39" spans="1:4">
      <c r="A39" s="223">
        <v>606403</v>
      </c>
      <c r="B39" s="224" t="s">
        <v>250</v>
      </c>
      <c r="C39" s="225">
        <v>-19.190000000000001</v>
      </c>
      <c r="D39" t="str">
        <f t="shared" si="0"/>
        <v>6</v>
      </c>
    </row>
    <row r="40" spans="1:4">
      <c r="A40" s="223">
        <v>611100</v>
      </c>
      <c r="B40" s="224" t="s">
        <v>13</v>
      </c>
      <c r="C40" s="225">
        <v>-127447.72</v>
      </c>
      <c r="D40" t="str">
        <f t="shared" si="0"/>
        <v>6</v>
      </c>
    </row>
    <row r="41" spans="1:4">
      <c r="A41" s="223">
        <v>611102</v>
      </c>
      <c r="B41" s="224" t="s">
        <v>14</v>
      </c>
      <c r="C41" s="225">
        <v>-342709.53</v>
      </c>
      <c r="D41" t="str">
        <f t="shared" si="0"/>
        <v>6</v>
      </c>
    </row>
    <row r="42" spans="1:4">
      <c r="A42" s="223">
        <v>613202</v>
      </c>
      <c r="B42" s="224" t="s">
        <v>15</v>
      </c>
      <c r="C42" s="225">
        <v>-950.4</v>
      </c>
      <c r="D42" t="str">
        <f t="shared" si="0"/>
        <v>6</v>
      </c>
    </row>
    <row r="43" spans="1:4">
      <c r="A43" s="223">
        <v>613203</v>
      </c>
      <c r="B43" s="224" t="s">
        <v>338</v>
      </c>
      <c r="C43" s="225">
        <v>-75</v>
      </c>
      <c r="D43" t="str">
        <f t="shared" si="0"/>
        <v>6</v>
      </c>
    </row>
    <row r="44" spans="1:4">
      <c r="A44" s="223">
        <v>613204</v>
      </c>
      <c r="B44" s="224" t="s">
        <v>16</v>
      </c>
      <c r="C44" s="225">
        <v>-1349.4099999999999</v>
      </c>
      <c r="D44" t="str">
        <f t="shared" si="0"/>
        <v>6</v>
      </c>
    </row>
    <row r="45" spans="1:4">
      <c r="A45" s="223">
        <v>613205</v>
      </c>
      <c r="B45" s="224" t="s">
        <v>251</v>
      </c>
      <c r="C45" s="225">
        <v>-751.68</v>
      </c>
      <c r="D45" t="str">
        <f t="shared" si="0"/>
        <v>6</v>
      </c>
    </row>
    <row r="46" spans="1:4">
      <c r="A46" s="223">
        <v>613210</v>
      </c>
      <c r="B46" s="224" t="s">
        <v>17</v>
      </c>
      <c r="C46" s="225">
        <v>-6544.26</v>
      </c>
      <c r="D46" t="str">
        <f t="shared" si="0"/>
        <v>6</v>
      </c>
    </row>
    <row r="47" spans="1:4">
      <c r="A47" s="223">
        <v>613500</v>
      </c>
      <c r="B47" s="224" t="s">
        <v>18</v>
      </c>
      <c r="C47" s="225">
        <v>-6689.880000000001</v>
      </c>
      <c r="D47" t="str">
        <f t="shared" si="0"/>
        <v>6</v>
      </c>
    </row>
    <row r="48" spans="1:4">
      <c r="A48" s="223">
        <v>613502</v>
      </c>
      <c r="B48" s="224" t="s">
        <v>252</v>
      </c>
      <c r="C48" s="225">
        <v>-450</v>
      </c>
      <c r="D48" t="str">
        <f t="shared" si="0"/>
        <v>6</v>
      </c>
    </row>
    <row r="49" spans="1:4">
      <c r="A49" s="223">
        <v>613503</v>
      </c>
      <c r="B49" s="224" t="s">
        <v>253</v>
      </c>
      <c r="C49" s="225">
        <v>-515.4</v>
      </c>
      <c r="D49" t="str">
        <f t="shared" si="0"/>
        <v>6</v>
      </c>
    </row>
    <row r="50" spans="1:4">
      <c r="A50" s="223">
        <v>613504</v>
      </c>
      <c r="B50" s="224" t="s">
        <v>254</v>
      </c>
      <c r="C50" s="225">
        <v>-3531.3</v>
      </c>
      <c r="D50" t="str">
        <f t="shared" si="0"/>
        <v>6</v>
      </c>
    </row>
    <row r="51" spans="1:4">
      <c r="A51" s="223">
        <v>613505</v>
      </c>
      <c r="B51" s="224" t="s">
        <v>339</v>
      </c>
      <c r="C51" s="225">
        <v>-2546.89</v>
      </c>
      <c r="D51" t="str">
        <f t="shared" si="0"/>
        <v>6</v>
      </c>
    </row>
    <row r="52" spans="1:4">
      <c r="A52" s="223">
        <v>613700</v>
      </c>
      <c r="B52" s="224" t="s">
        <v>19</v>
      </c>
      <c r="C52" s="225">
        <v>-622.65</v>
      </c>
      <c r="D52" t="str">
        <f t="shared" si="0"/>
        <v>6</v>
      </c>
    </row>
    <row r="53" spans="1:4">
      <c r="A53" s="223">
        <v>613800</v>
      </c>
      <c r="B53" s="224" t="s">
        <v>20</v>
      </c>
      <c r="C53" s="225">
        <v>-252.5</v>
      </c>
      <c r="D53" t="str">
        <f t="shared" si="0"/>
        <v>6</v>
      </c>
    </row>
    <row r="54" spans="1:4">
      <c r="A54" s="223">
        <v>613900</v>
      </c>
      <c r="B54" s="224" t="s">
        <v>340</v>
      </c>
      <c r="C54" s="225">
        <v>-200</v>
      </c>
      <c r="D54" t="str">
        <f t="shared" si="0"/>
        <v>6</v>
      </c>
    </row>
    <row r="55" spans="1:4">
      <c r="A55" s="223">
        <v>614000</v>
      </c>
      <c r="B55" s="224" t="s">
        <v>21</v>
      </c>
      <c r="C55" s="225">
        <v>-16304.590000000002</v>
      </c>
      <c r="D55" t="str">
        <f t="shared" si="0"/>
        <v>6</v>
      </c>
    </row>
    <row r="56" spans="1:4">
      <c r="A56" s="223">
        <v>614003</v>
      </c>
      <c r="B56" s="224" t="s">
        <v>22</v>
      </c>
      <c r="C56" s="225">
        <v>-893.72</v>
      </c>
      <c r="D56" t="str">
        <f t="shared" si="0"/>
        <v>6</v>
      </c>
    </row>
    <row r="57" spans="1:4">
      <c r="A57" s="223">
        <v>615200</v>
      </c>
      <c r="B57" s="224" t="s">
        <v>23</v>
      </c>
      <c r="C57" s="225">
        <v>-3577.15</v>
      </c>
      <c r="D57" t="str">
        <f t="shared" si="0"/>
        <v>6</v>
      </c>
    </row>
    <row r="58" spans="1:4">
      <c r="A58" s="223">
        <v>615201</v>
      </c>
      <c r="B58" s="224" t="s">
        <v>255</v>
      </c>
      <c r="C58" s="225">
        <v>-2022.84</v>
      </c>
      <c r="D58" t="str">
        <f t="shared" si="0"/>
        <v>6</v>
      </c>
    </row>
    <row r="59" spans="1:4">
      <c r="A59" s="223">
        <v>615600</v>
      </c>
      <c r="B59" s="224" t="s">
        <v>341</v>
      </c>
      <c r="C59" s="225">
        <v>-42522.67</v>
      </c>
      <c r="D59" t="str">
        <f t="shared" si="0"/>
        <v>6</v>
      </c>
    </row>
    <row r="60" spans="1:4">
      <c r="A60" s="223">
        <v>615601</v>
      </c>
      <c r="B60" s="224" t="s">
        <v>256</v>
      </c>
      <c r="C60" s="225">
        <v>-58573.509999999995</v>
      </c>
      <c r="D60" t="str">
        <f t="shared" si="0"/>
        <v>6</v>
      </c>
    </row>
    <row r="61" spans="1:4">
      <c r="A61" s="223">
        <v>615602</v>
      </c>
      <c r="B61" s="224" t="s">
        <v>257</v>
      </c>
      <c r="C61" s="225">
        <v>-92.78</v>
      </c>
      <c r="D61" t="str">
        <f t="shared" si="0"/>
        <v>6</v>
      </c>
    </row>
    <row r="62" spans="1:4">
      <c r="A62" s="223">
        <v>615603</v>
      </c>
      <c r="B62" s="224" t="s">
        <v>258</v>
      </c>
      <c r="C62" s="225">
        <v>-4334.46</v>
      </c>
      <c r="D62" t="str">
        <f t="shared" si="0"/>
        <v>6</v>
      </c>
    </row>
    <row r="63" spans="1:4">
      <c r="A63" s="223">
        <v>616000</v>
      </c>
      <c r="B63" s="224" t="s">
        <v>342</v>
      </c>
      <c r="C63" s="225">
        <v>-3945.46</v>
      </c>
      <c r="D63" t="str">
        <f t="shared" si="0"/>
        <v>6</v>
      </c>
    </row>
    <row r="64" spans="1:4">
      <c r="A64" s="223">
        <v>616001</v>
      </c>
      <c r="B64" s="224" t="s">
        <v>343</v>
      </c>
      <c r="C64" s="225">
        <v>-829.69</v>
      </c>
      <c r="D64" t="str">
        <f t="shared" si="0"/>
        <v>6</v>
      </c>
    </row>
    <row r="65" spans="1:4">
      <c r="A65" s="223">
        <v>616003</v>
      </c>
      <c r="B65" s="224" t="s">
        <v>344</v>
      </c>
      <c r="C65" s="225">
        <v>-2406.73</v>
      </c>
      <c r="D65" t="str">
        <f t="shared" si="0"/>
        <v>6</v>
      </c>
    </row>
    <row r="66" spans="1:4">
      <c r="A66" s="223">
        <v>616005</v>
      </c>
      <c r="B66" s="224" t="s">
        <v>345</v>
      </c>
      <c r="C66" s="225">
        <v>-79.52</v>
      </c>
      <c r="D66" t="str">
        <f t="shared" si="0"/>
        <v>6</v>
      </c>
    </row>
    <row r="67" spans="1:4">
      <c r="A67" s="223">
        <v>616006</v>
      </c>
      <c r="B67" s="224" t="s">
        <v>346</v>
      </c>
      <c r="C67" s="225">
        <v>-846.81999999999994</v>
      </c>
      <c r="D67" t="str">
        <f t="shared" ref="D67:D130" si="1">+LEFT(A67,1)</f>
        <v>6</v>
      </c>
    </row>
    <row r="68" spans="1:4">
      <c r="A68" s="223">
        <v>616007</v>
      </c>
      <c r="B68" s="224" t="s">
        <v>347</v>
      </c>
      <c r="C68" s="225">
        <v>-248.73</v>
      </c>
      <c r="D68" t="str">
        <f t="shared" si="1"/>
        <v>6</v>
      </c>
    </row>
    <row r="69" spans="1:4">
      <c r="A69" s="223">
        <v>616008</v>
      </c>
      <c r="B69" s="224" t="s">
        <v>348</v>
      </c>
      <c r="C69" s="225">
        <v>-672.75</v>
      </c>
      <c r="D69" t="str">
        <f t="shared" si="1"/>
        <v>6</v>
      </c>
    </row>
    <row r="70" spans="1:4">
      <c r="A70" s="223">
        <v>616009</v>
      </c>
      <c r="B70" s="224" t="s">
        <v>349</v>
      </c>
      <c r="C70" s="225">
        <v>-871.42000000000007</v>
      </c>
      <c r="D70" t="str">
        <f t="shared" si="1"/>
        <v>6</v>
      </c>
    </row>
    <row r="71" spans="1:4">
      <c r="A71" s="223">
        <v>618004</v>
      </c>
      <c r="B71" s="224" t="s">
        <v>24</v>
      </c>
      <c r="C71" s="225">
        <v>-14936.039999999999</v>
      </c>
      <c r="D71" t="str">
        <f t="shared" si="1"/>
        <v>6</v>
      </c>
    </row>
    <row r="72" spans="1:4">
      <c r="A72" s="223">
        <v>618100</v>
      </c>
      <c r="B72" s="224" t="s">
        <v>25</v>
      </c>
      <c r="C72" s="225">
        <v>-137.94999999999999</v>
      </c>
      <c r="D72" t="str">
        <f t="shared" si="1"/>
        <v>6</v>
      </c>
    </row>
    <row r="73" spans="1:4">
      <c r="A73" s="223">
        <v>618101</v>
      </c>
      <c r="B73" s="224" t="s">
        <v>26</v>
      </c>
      <c r="C73" s="225">
        <v>-383.84</v>
      </c>
      <c r="D73" t="str">
        <f t="shared" si="1"/>
        <v>6</v>
      </c>
    </row>
    <row r="74" spans="1:4">
      <c r="A74" s="223">
        <v>618102</v>
      </c>
      <c r="B74" s="224" t="s">
        <v>27</v>
      </c>
      <c r="C74" s="225">
        <v>-266.72000000000003</v>
      </c>
      <c r="D74" t="str">
        <f t="shared" si="1"/>
        <v>6</v>
      </c>
    </row>
    <row r="75" spans="1:4">
      <c r="A75" s="223">
        <v>618301</v>
      </c>
      <c r="B75" s="224" t="s">
        <v>259</v>
      </c>
      <c r="C75" s="225">
        <v>-4806.97</v>
      </c>
      <c r="D75" t="str">
        <f t="shared" si="1"/>
        <v>6</v>
      </c>
    </row>
    <row r="76" spans="1:4">
      <c r="A76" s="223">
        <v>618500</v>
      </c>
      <c r="B76" s="224" t="s">
        <v>350</v>
      </c>
      <c r="C76" s="225">
        <v>-33359.67</v>
      </c>
      <c r="D76" t="str">
        <f t="shared" si="1"/>
        <v>6</v>
      </c>
    </row>
    <row r="77" spans="1:4">
      <c r="A77" s="223">
        <v>621100</v>
      </c>
      <c r="B77" s="224" t="s">
        <v>28</v>
      </c>
      <c r="C77" s="225">
        <v>-561.44000000000005</v>
      </c>
      <c r="D77" t="str">
        <f t="shared" si="1"/>
        <v>6</v>
      </c>
    </row>
    <row r="78" spans="1:4">
      <c r="A78" s="223">
        <v>622008</v>
      </c>
      <c r="B78" s="224" t="s">
        <v>351</v>
      </c>
      <c r="C78" s="225">
        <v>-1498.8</v>
      </c>
      <c r="D78" t="str">
        <f t="shared" si="1"/>
        <v>6</v>
      </c>
    </row>
    <row r="79" spans="1:4">
      <c r="A79" s="223">
        <v>622009</v>
      </c>
      <c r="B79" s="224" t="s">
        <v>352</v>
      </c>
      <c r="C79" s="225">
        <v>-951.8</v>
      </c>
      <c r="D79" t="str">
        <f t="shared" si="1"/>
        <v>6</v>
      </c>
    </row>
    <row r="80" spans="1:4">
      <c r="A80" s="223">
        <v>622010</v>
      </c>
      <c r="B80" s="224" t="s">
        <v>353</v>
      </c>
      <c r="C80" s="225">
        <v>-2655.6</v>
      </c>
      <c r="D80" t="str">
        <f t="shared" si="1"/>
        <v>6</v>
      </c>
    </row>
    <row r="81" spans="1:4">
      <c r="A81" s="223">
        <v>622012</v>
      </c>
      <c r="B81" s="224" t="s">
        <v>354</v>
      </c>
      <c r="C81" s="225">
        <v>-88278.720000000001</v>
      </c>
      <c r="D81" t="str">
        <f t="shared" si="1"/>
        <v>6</v>
      </c>
    </row>
    <row r="82" spans="1:4">
      <c r="A82" s="223">
        <v>622014</v>
      </c>
      <c r="B82" s="224" t="s">
        <v>355</v>
      </c>
      <c r="C82" s="225">
        <v>-14216.3</v>
      </c>
      <c r="D82" t="str">
        <f t="shared" si="1"/>
        <v>6</v>
      </c>
    </row>
    <row r="83" spans="1:4">
      <c r="A83" s="223">
        <v>622016</v>
      </c>
      <c r="B83" s="224" t="s">
        <v>356</v>
      </c>
      <c r="C83" s="225">
        <v>-500</v>
      </c>
      <c r="D83" t="str">
        <f t="shared" si="1"/>
        <v>6</v>
      </c>
    </row>
    <row r="84" spans="1:4">
      <c r="A84" s="223">
        <v>622020</v>
      </c>
      <c r="B84" s="224" t="s">
        <v>357</v>
      </c>
      <c r="C84" s="225">
        <v>-11041.35</v>
      </c>
      <c r="D84" t="str">
        <f t="shared" si="1"/>
        <v>6</v>
      </c>
    </row>
    <row r="85" spans="1:4">
      <c r="A85" s="223">
        <v>622021</v>
      </c>
      <c r="B85" s="224" t="s">
        <v>260</v>
      </c>
      <c r="C85" s="225">
        <v>-15259.630000000001</v>
      </c>
      <c r="D85" t="str">
        <f t="shared" si="1"/>
        <v>6</v>
      </c>
    </row>
    <row r="86" spans="1:4">
      <c r="A86" s="223">
        <v>622022</v>
      </c>
      <c r="B86" s="224" t="s">
        <v>261</v>
      </c>
      <c r="C86" s="225">
        <v>-40417.020000000004</v>
      </c>
      <c r="D86" t="str">
        <f t="shared" si="1"/>
        <v>6</v>
      </c>
    </row>
    <row r="87" spans="1:4">
      <c r="A87" s="223">
        <v>622023</v>
      </c>
      <c r="B87" s="224" t="s">
        <v>29</v>
      </c>
      <c r="C87" s="225">
        <v>-19195</v>
      </c>
      <c r="D87" t="str">
        <f t="shared" si="1"/>
        <v>6</v>
      </c>
    </row>
    <row r="88" spans="1:4">
      <c r="A88" s="223">
        <v>622026</v>
      </c>
      <c r="B88" s="224" t="s">
        <v>358</v>
      </c>
      <c r="C88" s="225">
        <v>-3874.94</v>
      </c>
      <c r="D88" t="str">
        <f t="shared" si="1"/>
        <v>6</v>
      </c>
    </row>
    <row r="89" spans="1:4">
      <c r="A89" s="223">
        <v>622027</v>
      </c>
      <c r="B89" s="224" t="s">
        <v>262</v>
      </c>
      <c r="C89" s="225">
        <v>-58543.35</v>
      </c>
      <c r="D89" t="str">
        <f t="shared" si="1"/>
        <v>6</v>
      </c>
    </row>
    <row r="90" spans="1:4">
      <c r="A90" s="223">
        <v>622028</v>
      </c>
      <c r="B90" s="224" t="s">
        <v>359</v>
      </c>
      <c r="C90" s="225">
        <v>-3740</v>
      </c>
      <c r="D90" t="str">
        <f t="shared" si="1"/>
        <v>6</v>
      </c>
    </row>
    <row r="91" spans="1:4">
      <c r="A91" s="223">
        <v>622030</v>
      </c>
      <c r="B91" s="224" t="s">
        <v>360</v>
      </c>
      <c r="C91" s="225">
        <v>-25789.35</v>
      </c>
      <c r="D91" t="str">
        <f t="shared" si="1"/>
        <v>6</v>
      </c>
    </row>
    <row r="92" spans="1:4">
      <c r="A92" s="223">
        <v>622100</v>
      </c>
      <c r="B92" s="224" t="s">
        <v>30</v>
      </c>
      <c r="C92" s="225">
        <v>-31876.25</v>
      </c>
      <c r="D92" t="str">
        <f t="shared" si="1"/>
        <v>6</v>
      </c>
    </row>
    <row r="93" spans="1:4">
      <c r="A93" s="223">
        <v>622110</v>
      </c>
      <c r="B93" s="224" t="s">
        <v>31</v>
      </c>
      <c r="C93" s="225">
        <v>-25853.95</v>
      </c>
      <c r="D93" t="str">
        <f t="shared" si="1"/>
        <v>6</v>
      </c>
    </row>
    <row r="94" spans="1:4">
      <c r="A94" s="223">
        <v>622111</v>
      </c>
      <c r="B94" s="224" t="s">
        <v>32</v>
      </c>
      <c r="C94" s="225">
        <v>-57370</v>
      </c>
      <c r="D94" t="str">
        <f t="shared" si="1"/>
        <v>6</v>
      </c>
    </row>
    <row r="95" spans="1:4">
      <c r="A95" s="223">
        <v>622120</v>
      </c>
      <c r="B95" s="224" t="s">
        <v>33</v>
      </c>
      <c r="C95" s="225">
        <v>-34732.5</v>
      </c>
      <c r="D95" t="str">
        <f t="shared" si="1"/>
        <v>6</v>
      </c>
    </row>
    <row r="96" spans="1:4">
      <c r="A96" s="223">
        <v>622130</v>
      </c>
      <c r="B96" s="224" t="s">
        <v>34</v>
      </c>
      <c r="C96" s="225">
        <v>-6269.56</v>
      </c>
      <c r="D96" t="str">
        <f t="shared" si="1"/>
        <v>6</v>
      </c>
    </row>
    <row r="97" spans="1:4">
      <c r="A97" s="223">
        <v>622140</v>
      </c>
      <c r="B97" s="224" t="s">
        <v>35</v>
      </c>
      <c r="C97" s="225">
        <v>-62918.6</v>
      </c>
      <c r="D97" t="str">
        <f t="shared" si="1"/>
        <v>6</v>
      </c>
    </row>
    <row r="98" spans="1:4">
      <c r="A98" s="223">
        <v>622170</v>
      </c>
      <c r="B98" s="224" t="s">
        <v>36</v>
      </c>
      <c r="C98" s="225">
        <v>-506.4</v>
      </c>
      <c r="D98" t="str">
        <f t="shared" si="1"/>
        <v>6</v>
      </c>
    </row>
    <row r="99" spans="1:4">
      <c r="A99" s="223">
        <v>622200</v>
      </c>
      <c r="B99" s="224" t="s">
        <v>263</v>
      </c>
      <c r="C99" s="225">
        <v>497</v>
      </c>
      <c r="D99" t="str">
        <f t="shared" si="1"/>
        <v>6</v>
      </c>
    </row>
    <row r="100" spans="1:4">
      <c r="A100" s="223">
        <v>622801</v>
      </c>
      <c r="B100" s="224" t="s">
        <v>37</v>
      </c>
      <c r="C100" s="225">
        <v>-244.02</v>
      </c>
      <c r="D100" t="str">
        <f t="shared" si="1"/>
        <v>6</v>
      </c>
    </row>
    <row r="101" spans="1:4">
      <c r="A101" s="223">
        <v>622802</v>
      </c>
      <c r="B101" s="224" t="s">
        <v>264</v>
      </c>
      <c r="C101" s="225">
        <v>-2189.1</v>
      </c>
      <c r="D101" t="str">
        <f t="shared" si="1"/>
        <v>6</v>
      </c>
    </row>
    <row r="102" spans="1:4">
      <c r="A102" s="223">
        <v>623001</v>
      </c>
      <c r="B102" s="224" t="s">
        <v>38</v>
      </c>
      <c r="C102" s="225">
        <v>-84958.57</v>
      </c>
      <c r="D102" t="str">
        <f t="shared" si="1"/>
        <v>6</v>
      </c>
    </row>
    <row r="103" spans="1:4">
      <c r="A103" s="223">
        <v>623300</v>
      </c>
      <c r="B103" s="224" t="s">
        <v>39</v>
      </c>
      <c r="C103" s="225">
        <v>-144</v>
      </c>
      <c r="D103" t="str">
        <f t="shared" si="1"/>
        <v>6</v>
      </c>
    </row>
    <row r="104" spans="1:4">
      <c r="A104" s="223">
        <v>623302</v>
      </c>
      <c r="B104" s="224" t="s">
        <v>361</v>
      </c>
      <c r="C104" s="225">
        <v>-104.04</v>
      </c>
      <c r="D104" t="str">
        <f t="shared" si="1"/>
        <v>6</v>
      </c>
    </row>
    <row r="105" spans="1:4">
      <c r="A105" s="223">
        <v>623304</v>
      </c>
      <c r="B105" s="224" t="s">
        <v>362</v>
      </c>
      <c r="C105" s="225">
        <v>-22234.799999999999</v>
      </c>
      <c r="D105" t="str">
        <f t="shared" si="1"/>
        <v>6</v>
      </c>
    </row>
    <row r="106" spans="1:4">
      <c r="A106" s="223">
        <v>623400</v>
      </c>
      <c r="B106" s="224" t="s">
        <v>363</v>
      </c>
      <c r="C106" s="225">
        <v>-2061.6</v>
      </c>
      <c r="D106" t="str">
        <f t="shared" si="1"/>
        <v>6</v>
      </c>
    </row>
    <row r="107" spans="1:4">
      <c r="A107" s="223">
        <v>623401</v>
      </c>
      <c r="B107" s="224" t="s">
        <v>364</v>
      </c>
      <c r="C107" s="225">
        <v>-4767.93</v>
      </c>
      <c r="D107" t="str">
        <f t="shared" si="1"/>
        <v>6</v>
      </c>
    </row>
    <row r="108" spans="1:4">
      <c r="A108" s="223">
        <v>623402</v>
      </c>
      <c r="B108" s="224" t="s">
        <v>365</v>
      </c>
      <c r="C108" s="225">
        <v>-69.17</v>
      </c>
      <c r="D108" t="str">
        <f t="shared" si="1"/>
        <v>6</v>
      </c>
    </row>
    <row r="109" spans="1:4">
      <c r="A109" s="223">
        <v>623403</v>
      </c>
      <c r="B109" s="224" t="s">
        <v>366</v>
      </c>
      <c r="C109" s="225">
        <v>-91.66</v>
      </c>
      <c r="D109" t="str">
        <f t="shared" si="1"/>
        <v>6</v>
      </c>
    </row>
    <row r="110" spans="1:4">
      <c r="A110" s="223">
        <v>623404</v>
      </c>
      <c r="B110" s="224" t="s">
        <v>367</v>
      </c>
      <c r="C110" s="225">
        <v>-65</v>
      </c>
      <c r="D110" t="str">
        <f t="shared" si="1"/>
        <v>6</v>
      </c>
    </row>
    <row r="111" spans="1:4">
      <c r="A111" s="223">
        <v>623800</v>
      </c>
      <c r="B111" s="224" t="s">
        <v>368</v>
      </c>
      <c r="C111" s="225">
        <v>-100</v>
      </c>
      <c r="D111" t="str">
        <f t="shared" si="1"/>
        <v>6</v>
      </c>
    </row>
    <row r="112" spans="1:4">
      <c r="A112" s="223">
        <v>624000</v>
      </c>
      <c r="B112" s="224" t="s">
        <v>369</v>
      </c>
      <c r="C112" s="225">
        <v>-103.54</v>
      </c>
      <c r="D112" t="str">
        <f t="shared" si="1"/>
        <v>6</v>
      </c>
    </row>
    <row r="113" spans="1:4">
      <c r="A113" s="223">
        <v>624001</v>
      </c>
      <c r="B113" s="224" t="s">
        <v>370</v>
      </c>
      <c r="C113" s="225">
        <v>-308.42</v>
      </c>
      <c r="D113" t="str">
        <f t="shared" si="1"/>
        <v>6</v>
      </c>
    </row>
    <row r="114" spans="1:4">
      <c r="A114" s="223">
        <v>624801</v>
      </c>
      <c r="B114" s="224" t="s">
        <v>265</v>
      </c>
      <c r="C114" s="225">
        <v>-57</v>
      </c>
      <c r="D114" t="str">
        <f t="shared" si="1"/>
        <v>6</v>
      </c>
    </row>
    <row r="115" spans="1:4">
      <c r="A115" s="223">
        <v>625010</v>
      </c>
      <c r="B115" s="224" t="s">
        <v>371</v>
      </c>
      <c r="C115" s="225">
        <v>-3514.6200000000003</v>
      </c>
      <c r="D115" t="str">
        <f t="shared" si="1"/>
        <v>6</v>
      </c>
    </row>
    <row r="116" spans="1:4">
      <c r="A116" s="223">
        <v>625011</v>
      </c>
      <c r="B116" s="224" t="s">
        <v>372</v>
      </c>
      <c r="C116" s="225">
        <v>-4149.7</v>
      </c>
      <c r="D116" t="str">
        <f t="shared" si="1"/>
        <v>6</v>
      </c>
    </row>
    <row r="117" spans="1:4">
      <c r="A117" s="223">
        <v>625012</v>
      </c>
      <c r="B117" s="224" t="s">
        <v>373</v>
      </c>
      <c r="C117" s="225">
        <v>-714.85</v>
      </c>
      <c r="D117" t="str">
        <f t="shared" si="1"/>
        <v>6</v>
      </c>
    </row>
    <row r="118" spans="1:4">
      <c r="A118" s="223">
        <v>625014</v>
      </c>
      <c r="B118" s="224" t="s">
        <v>40</v>
      </c>
      <c r="C118" s="225">
        <v>-1795.22</v>
      </c>
      <c r="D118" t="str">
        <f t="shared" si="1"/>
        <v>6</v>
      </c>
    </row>
    <row r="119" spans="1:4">
      <c r="A119" s="223">
        <v>625015</v>
      </c>
      <c r="B119" s="224" t="s">
        <v>41</v>
      </c>
      <c r="C119" s="225">
        <v>-18576.899999999998</v>
      </c>
      <c r="D119" t="str">
        <f t="shared" si="1"/>
        <v>6</v>
      </c>
    </row>
    <row r="120" spans="1:4">
      <c r="A120" s="223">
        <v>625016</v>
      </c>
      <c r="B120" s="224" t="s">
        <v>42</v>
      </c>
      <c r="C120" s="225">
        <v>-899.21</v>
      </c>
      <c r="D120" t="str">
        <f t="shared" si="1"/>
        <v>6</v>
      </c>
    </row>
    <row r="121" spans="1:4">
      <c r="A121" s="223">
        <v>625017</v>
      </c>
      <c r="B121" s="224" t="s">
        <v>374</v>
      </c>
      <c r="C121" s="225">
        <v>-855.21</v>
      </c>
      <c r="D121" t="str">
        <f t="shared" si="1"/>
        <v>6</v>
      </c>
    </row>
    <row r="122" spans="1:4">
      <c r="A122" s="223">
        <v>625018</v>
      </c>
      <c r="B122" s="224" t="s">
        <v>375</v>
      </c>
      <c r="C122" s="225">
        <v>-7498.5800000000008</v>
      </c>
      <c r="D122" t="str">
        <f t="shared" si="1"/>
        <v>6</v>
      </c>
    </row>
    <row r="123" spans="1:4">
      <c r="A123" s="223">
        <v>625019</v>
      </c>
      <c r="B123" s="224" t="s">
        <v>376</v>
      </c>
      <c r="C123" s="225">
        <v>-8197.0300000000007</v>
      </c>
      <c r="D123" t="str">
        <f t="shared" si="1"/>
        <v>6</v>
      </c>
    </row>
    <row r="124" spans="1:4">
      <c r="A124" s="223">
        <v>625025</v>
      </c>
      <c r="B124" s="224" t="s">
        <v>377</v>
      </c>
      <c r="C124" s="225">
        <v>-760.54</v>
      </c>
      <c r="D124" t="str">
        <f t="shared" si="1"/>
        <v>6</v>
      </c>
    </row>
    <row r="125" spans="1:4">
      <c r="A125" s="223">
        <v>625026</v>
      </c>
      <c r="B125" s="224" t="s">
        <v>378</v>
      </c>
      <c r="C125" s="225">
        <v>-144.80000000000001</v>
      </c>
      <c r="D125" t="str">
        <f t="shared" si="1"/>
        <v>6</v>
      </c>
    </row>
    <row r="126" spans="1:4">
      <c r="A126" s="223">
        <v>625110</v>
      </c>
      <c r="B126" s="224" t="s">
        <v>379</v>
      </c>
      <c r="C126" s="225">
        <v>-9337.57</v>
      </c>
      <c r="D126" t="str">
        <f t="shared" si="1"/>
        <v>6</v>
      </c>
    </row>
    <row r="127" spans="1:4">
      <c r="A127" s="223">
        <v>625111</v>
      </c>
      <c r="B127" s="224" t="s">
        <v>380</v>
      </c>
      <c r="C127" s="225">
        <v>-1057.92</v>
      </c>
      <c r="D127" t="str">
        <f t="shared" si="1"/>
        <v>6</v>
      </c>
    </row>
    <row r="128" spans="1:4">
      <c r="A128" s="223">
        <v>625112</v>
      </c>
      <c r="B128" s="224" t="s">
        <v>381</v>
      </c>
      <c r="C128" s="225">
        <v>-45648.87</v>
      </c>
      <c r="D128" t="str">
        <f t="shared" si="1"/>
        <v>6</v>
      </c>
    </row>
    <row r="129" spans="1:4">
      <c r="A129" s="223">
        <v>625113</v>
      </c>
      <c r="B129" s="224" t="s">
        <v>382</v>
      </c>
      <c r="C129" s="225">
        <v>-12485.09</v>
      </c>
      <c r="D129" t="str">
        <f t="shared" si="1"/>
        <v>6</v>
      </c>
    </row>
    <row r="130" spans="1:4">
      <c r="A130" s="223">
        <v>625114</v>
      </c>
      <c r="B130" s="224" t="s">
        <v>383</v>
      </c>
      <c r="C130" s="225">
        <v>-73.95</v>
      </c>
      <c r="D130" t="str">
        <f t="shared" si="1"/>
        <v>6</v>
      </c>
    </row>
    <row r="131" spans="1:4">
      <c r="A131" s="223">
        <v>625115</v>
      </c>
      <c r="B131" s="224" t="s">
        <v>384</v>
      </c>
      <c r="C131" s="225">
        <v>-3698.71</v>
      </c>
      <c r="D131" t="str">
        <f t="shared" ref="D131:D194" si="2">+LEFT(A131,1)</f>
        <v>6</v>
      </c>
    </row>
    <row r="132" spans="1:4">
      <c r="A132" s="223">
        <v>625116</v>
      </c>
      <c r="B132" s="224" t="s">
        <v>385</v>
      </c>
      <c r="C132" s="225">
        <v>-3995.2699999999995</v>
      </c>
      <c r="D132" t="str">
        <f t="shared" si="2"/>
        <v>6</v>
      </c>
    </row>
    <row r="133" spans="1:4">
      <c r="A133" s="223">
        <v>625117</v>
      </c>
      <c r="B133" s="224" t="s">
        <v>386</v>
      </c>
      <c r="C133" s="225">
        <v>-6320.7099999999991</v>
      </c>
      <c r="D133" t="str">
        <f t="shared" si="2"/>
        <v>6</v>
      </c>
    </row>
    <row r="134" spans="1:4">
      <c r="A134" s="223">
        <v>625118</v>
      </c>
      <c r="B134" s="224" t="s">
        <v>387</v>
      </c>
      <c r="C134" s="225">
        <v>-8109.32</v>
      </c>
      <c r="D134" t="str">
        <f t="shared" si="2"/>
        <v>6</v>
      </c>
    </row>
    <row r="135" spans="1:4">
      <c r="A135" s="223">
        <v>625119</v>
      </c>
      <c r="B135" s="224" t="s">
        <v>388</v>
      </c>
      <c r="C135" s="225">
        <v>-41964.2</v>
      </c>
      <c r="D135" t="str">
        <f t="shared" si="2"/>
        <v>6</v>
      </c>
    </row>
    <row r="136" spans="1:4">
      <c r="A136" s="223">
        <v>625120</v>
      </c>
      <c r="B136" s="224" t="s">
        <v>389</v>
      </c>
      <c r="C136" s="225">
        <v>-36073.11</v>
      </c>
      <c r="D136" t="str">
        <f t="shared" si="2"/>
        <v>6</v>
      </c>
    </row>
    <row r="137" spans="1:4">
      <c r="A137" s="223">
        <v>625210</v>
      </c>
      <c r="B137" s="224" t="s">
        <v>390</v>
      </c>
      <c r="C137" s="225">
        <v>-1033.97</v>
      </c>
      <c r="D137" t="str">
        <f t="shared" si="2"/>
        <v>6</v>
      </c>
    </row>
    <row r="138" spans="1:4">
      <c r="A138" s="223">
        <v>625600</v>
      </c>
      <c r="B138" s="224" t="s">
        <v>391</v>
      </c>
      <c r="C138" s="225">
        <v>-810.42</v>
      </c>
      <c r="D138" t="str">
        <f t="shared" si="2"/>
        <v>6</v>
      </c>
    </row>
    <row r="139" spans="1:4">
      <c r="A139" s="223">
        <v>625609</v>
      </c>
      <c r="B139" s="224" t="s">
        <v>392</v>
      </c>
      <c r="C139" s="225">
        <v>-11328.489999999998</v>
      </c>
      <c r="D139" t="str">
        <f t="shared" si="2"/>
        <v>6</v>
      </c>
    </row>
    <row r="140" spans="1:4">
      <c r="A140" s="223">
        <v>625610</v>
      </c>
      <c r="B140" s="224" t="s">
        <v>393</v>
      </c>
      <c r="C140" s="225">
        <v>-23499.97</v>
      </c>
      <c r="D140" t="str">
        <f t="shared" si="2"/>
        <v>6</v>
      </c>
    </row>
    <row r="141" spans="1:4">
      <c r="A141" s="223">
        <v>625611</v>
      </c>
      <c r="B141" s="224" t="s">
        <v>394</v>
      </c>
      <c r="C141" s="225">
        <v>-922.47</v>
      </c>
      <c r="D141" t="str">
        <f t="shared" si="2"/>
        <v>6</v>
      </c>
    </row>
    <row r="142" spans="1:4">
      <c r="A142" s="223">
        <v>625612</v>
      </c>
      <c r="B142" s="224" t="s">
        <v>395</v>
      </c>
      <c r="C142" s="225">
        <v>-954.34</v>
      </c>
      <c r="D142" t="str">
        <f t="shared" si="2"/>
        <v>6</v>
      </c>
    </row>
    <row r="143" spans="1:4">
      <c r="A143" s="223">
        <v>625614</v>
      </c>
      <c r="B143" s="224" t="s">
        <v>396</v>
      </c>
      <c r="C143" s="225">
        <v>-1002.97</v>
      </c>
      <c r="D143" t="str">
        <f t="shared" si="2"/>
        <v>6</v>
      </c>
    </row>
    <row r="144" spans="1:4">
      <c r="A144" s="223">
        <v>625615</v>
      </c>
      <c r="B144" s="224" t="s">
        <v>397</v>
      </c>
      <c r="C144" s="225">
        <v>-88953.3</v>
      </c>
      <c r="D144" t="str">
        <f t="shared" si="2"/>
        <v>6</v>
      </c>
    </row>
    <row r="145" spans="1:4">
      <c r="A145" s="223">
        <v>625616</v>
      </c>
      <c r="B145" s="224" t="s">
        <v>398</v>
      </c>
      <c r="C145" s="225">
        <v>-7391.74</v>
      </c>
      <c r="D145" t="str">
        <f t="shared" si="2"/>
        <v>6</v>
      </c>
    </row>
    <row r="146" spans="1:4">
      <c r="A146" s="223">
        <v>625700</v>
      </c>
      <c r="B146" s="224" t="s">
        <v>43</v>
      </c>
      <c r="C146" s="225">
        <v>-5225.84</v>
      </c>
      <c r="D146" t="str">
        <f t="shared" si="2"/>
        <v>6</v>
      </c>
    </row>
    <row r="147" spans="1:4">
      <c r="A147" s="223">
        <v>625701</v>
      </c>
      <c r="B147" s="224" t="s">
        <v>266</v>
      </c>
      <c r="C147" s="225">
        <v>-6341.48</v>
      </c>
      <c r="D147" t="str">
        <f t="shared" si="2"/>
        <v>6</v>
      </c>
    </row>
    <row r="148" spans="1:4">
      <c r="A148" s="223">
        <v>626000</v>
      </c>
      <c r="B148" s="224" t="s">
        <v>44</v>
      </c>
      <c r="C148" s="225">
        <v>-7225.02</v>
      </c>
      <c r="D148" t="str">
        <f t="shared" si="2"/>
        <v>6</v>
      </c>
    </row>
    <row r="149" spans="1:4">
      <c r="A149" s="223">
        <v>626002</v>
      </c>
      <c r="B149" s="224" t="s">
        <v>45</v>
      </c>
      <c r="C149" s="225">
        <v>-970.15000000000009</v>
      </c>
      <c r="D149" t="str">
        <f t="shared" si="2"/>
        <v>6</v>
      </c>
    </row>
    <row r="150" spans="1:4">
      <c r="A150" s="223">
        <v>626003</v>
      </c>
      <c r="B150" s="224" t="s">
        <v>267</v>
      </c>
      <c r="C150" s="225">
        <v>-14399.669999999998</v>
      </c>
      <c r="D150" t="str">
        <f t="shared" si="2"/>
        <v>6</v>
      </c>
    </row>
    <row r="151" spans="1:4">
      <c r="A151" s="223">
        <v>626004</v>
      </c>
      <c r="B151" s="224" t="s">
        <v>399</v>
      </c>
      <c r="C151" s="225">
        <v>-5503.48</v>
      </c>
      <c r="D151" t="str">
        <f t="shared" si="2"/>
        <v>6</v>
      </c>
    </row>
    <row r="152" spans="1:4">
      <c r="A152" s="223">
        <v>626005</v>
      </c>
      <c r="B152" s="224" t="s">
        <v>400</v>
      </c>
      <c r="C152" s="225">
        <v>-3623.03</v>
      </c>
      <c r="D152" t="str">
        <f t="shared" si="2"/>
        <v>6</v>
      </c>
    </row>
    <row r="153" spans="1:4">
      <c r="A153" s="223">
        <v>626006</v>
      </c>
      <c r="B153" s="224" t="s">
        <v>46</v>
      </c>
      <c r="C153" s="225">
        <v>-14734.81</v>
      </c>
      <c r="D153" t="str">
        <f t="shared" si="2"/>
        <v>6</v>
      </c>
    </row>
    <row r="154" spans="1:4">
      <c r="A154" s="223">
        <v>626007</v>
      </c>
      <c r="B154" s="224" t="s">
        <v>401</v>
      </c>
      <c r="C154" s="225">
        <v>-1801.54</v>
      </c>
      <c r="D154" t="str">
        <f t="shared" si="2"/>
        <v>6</v>
      </c>
    </row>
    <row r="155" spans="1:4">
      <c r="A155" s="223">
        <v>626008</v>
      </c>
      <c r="B155" s="224" t="s">
        <v>402</v>
      </c>
      <c r="C155" s="225">
        <v>-14.61</v>
      </c>
      <c r="D155" t="str">
        <f t="shared" si="2"/>
        <v>6</v>
      </c>
    </row>
    <row r="156" spans="1:4">
      <c r="A156" s="223">
        <v>626101</v>
      </c>
      <c r="B156" s="224" t="s">
        <v>47</v>
      </c>
      <c r="C156" s="225">
        <v>-4440.38</v>
      </c>
      <c r="D156" t="str">
        <f t="shared" si="2"/>
        <v>6</v>
      </c>
    </row>
    <row r="157" spans="1:4">
      <c r="A157" s="223">
        <v>626112</v>
      </c>
      <c r="B157" s="224" t="s">
        <v>268</v>
      </c>
      <c r="C157" s="225">
        <v>-129.52000000000001</v>
      </c>
      <c r="D157" t="str">
        <f t="shared" si="2"/>
        <v>6</v>
      </c>
    </row>
    <row r="158" spans="1:4">
      <c r="A158" s="223">
        <v>626114</v>
      </c>
      <c r="B158" s="224" t="s">
        <v>403</v>
      </c>
      <c r="C158" s="225">
        <v>-623.87</v>
      </c>
      <c r="D158" t="str">
        <f t="shared" si="2"/>
        <v>6</v>
      </c>
    </row>
    <row r="159" spans="1:4">
      <c r="A159" s="223">
        <v>626200</v>
      </c>
      <c r="B159" s="224" t="s">
        <v>269</v>
      </c>
      <c r="C159" s="225">
        <v>-579.76</v>
      </c>
      <c r="D159" t="str">
        <f t="shared" si="2"/>
        <v>6</v>
      </c>
    </row>
    <row r="160" spans="1:4">
      <c r="A160" s="223">
        <v>626400</v>
      </c>
      <c r="B160" s="224" t="s">
        <v>404</v>
      </c>
      <c r="C160" s="225">
        <v>-16096.240000000002</v>
      </c>
      <c r="D160" t="str">
        <f t="shared" si="2"/>
        <v>6</v>
      </c>
    </row>
    <row r="161" spans="1:4">
      <c r="A161" s="223">
        <v>626401</v>
      </c>
      <c r="B161" s="224" t="s">
        <v>48</v>
      </c>
      <c r="C161" s="225">
        <v>-73987.73000000001</v>
      </c>
      <c r="D161" t="str">
        <f t="shared" si="2"/>
        <v>6</v>
      </c>
    </row>
    <row r="162" spans="1:4">
      <c r="A162" s="223">
        <v>627000</v>
      </c>
      <c r="B162" s="224" t="s">
        <v>49</v>
      </c>
      <c r="C162" s="225">
        <v>-8050.41</v>
      </c>
      <c r="D162" t="str">
        <f t="shared" si="2"/>
        <v>6</v>
      </c>
    </row>
    <row r="163" spans="1:4">
      <c r="A163" s="223">
        <v>627100</v>
      </c>
      <c r="B163" s="224" t="s">
        <v>50</v>
      </c>
      <c r="C163" s="225">
        <v>-1261.6600000000001</v>
      </c>
      <c r="D163" t="str">
        <f t="shared" si="2"/>
        <v>6</v>
      </c>
    </row>
    <row r="164" spans="1:4">
      <c r="A164" s="223">
        <v>627300</v>
      </c>
      <c r="B164" s="224" t="s">
        <v>51</v>
      </c>
      <c r="C164" s="225">
        <v>-2808.85</v>
      </c>
      <c r="D164" t="str">
        <f t="shared" si="2"/>
        <v>6</v>
      </c>
    </row>
    <row r="165" spans="1:4">
      <c r="A165" s="223">
        <v>627400</v>
      </c>
      <c r="B165" s="224" t="s">
        <v>52</v>
      </c>
      <c r="C165" s="225">
        <v>-7043.9</v>
      </c>
      <c r="D165" t="str">
        <f t="shared" si="2"/>
        <v>6</v>
      </c>
    </row>
    <row r="166" spans="1:4">
      <c r="A166" s="223">
        <v>627500</v>
      </c>
      <c r="B166" s="224" t="s">
        <v>53</v>
      </c>
      <c r="C166" s="225">
        <v>-1360</v>
      </c>
      <c r="D166" t="str">
        <f t="shared" si="2"/>
        <v>6</v>
      </c>
    </row>
    <row r="167" spans="1:4">
      <c r="A167" s="223">
        <v>628000</v>
      </c>
      <c r="B167" s="224" t="s">
        <v>54</v>
      </c>
      <c r="C167" s="225">
        <v>-2881.89</v>
      </c>
      <c r="D167" t="str">
        <f t="shared" si="2"/>
        <v>6</v>
      </c>
    </row>
    <row r="168" spans="1:4">
      <c r="A168" s="223">
        <v>628001</v>
      </c>
      <c r="B168" s="224" t="s">
        <v>55</v>
      </c>
      <c r="C168" s="225">
        <v>-59000</v>
      </c>
      <c r="D168" t="str">
        <f t="shared" si="2"/>
        <v>6</v>
      </c>
    </row>
    <row r="169" spans="1:4">
      <c r="A169" s="223">
        <v>628100</v>
      </c>
      <c r="B169" s="224" t="s">
        <v>56</v>
      </c>
      <c r="C169" s="225">
        <v>-892.8599999999999</v>
      </c>
      <c r="D169" t="str">
        <f t="shared" si="2"/>
        <v>6</v>
      </c>
    </row>
    <row r="170" spans="1:4">
      <c r="A170" s="223">
        <v>628800</v>
      </c>
      <c r="B170" s="224" t="s">
        <v>405</v>
      </c>
      <c r="C170" s="225">
        <v>-736.02</v>
      </c>
      <c r="D170" t="str">
        <f t="shared" si="2"/>
        <v>6</v>
      </c>
    </row>
    <row r="171" spans="1:4">
      <c r="A171" s="223">
        <v>631000</v>
      </c>
      <c r="B171" s="224" t="s">
        <v>270</v>
      </c>
      <c r="C171" s="225">
        <v>-139927</v>
      </c>
      <c r="D171" t="str">
        <f t="shared" si="2"/>
        <v>6</v>
      </c>
    </row>
    <row r="172" spans="1:4">
      <c r="A172" s="223">
        <v>633000</v>
      </c>
      <c r="B172" s="224" t="s">
        <v>57</v>
      </c>
      <c r="C172" s="225">
        <v>-27805.039999999994</v>
      </c>
      <c r="D172" t="str">
        <f t="shared" si="2"/>
        <v>6</v>
      </c>
    </row>
    <row r="173" spans="1:4">
      <c r="A173" s="223">
        <v>633003</v>
      </c>
      <c r="B173" s="224" t="s">
        <v>58</v>
      </c>
      <c r="C173" s="225">
        <v>0</v>
      </c>
      <c r="D173" t="str">
        <f t="shared" si="2"/>
        <v>6</v>
      </c>
    </row>
    <row r="174" spans="1:4">
      <c r="A174" s="223">
        <v>635110</v>
      </c>
      <c r="B174" s="224" t="s">
        <v>59</v>
      </c>
      <c r="C174" s="225">
        <v>-5957</v>
      </c>
      <c r="D174" t="str">
        <f t="shared" si="2"/>
        <v>6</v>
      </c>
    </row>
    <row r="175" spans="1:4">
      <c r="A175" s="223">
        <v>635111</v>
      </c>
      <c r="B175" s="224" t="s">
        <v>247</v>
      </c>
      <c r="C175" s="225">
        <v>-257</v>
      </c>
      <c r="D175" t="str">
        <f t="shared" si="2"/>
        <v>6</v>
      </c>
    </row>
    <row r="176" spans="1:4">
      <c r="A176" s="223">
        <v>635801</v>
      </c>
      <c r="B176" s="224" t="s">
        <v>60</v>
      </c>
      <c r="C176" s="225">
        <v>-6807</v>
      </c>
      <c r="D176" t="str">
        <f t="shared" si="2"/>
        <v>6</v>
      </c>
    </row>
    <row r="177" spans="1:4">
      <c r="A177" s="223">
        <v>635802</v>
      </c>
      <c r="B177" s="224" t="s">
        <v>271</v>
      </c>
      <c r="C177" s="225">
        <v>-946</v>
      </c>
      <c r="D177" t="str">
        <f t="shared" si="2"/>
        <v>6</v>
      </c>
    </row>
    <row r="178" spans="1:4">
      <c r="A178" s="223">
        <v>635803</v>
      </c>
      <c r="B178" s="224" t="s">
        <v>61</v>
      </c>
      <c r="C178" s="225">
        <v>-5095.24</v>
      </c>
      <c r="D178" t="str">
        <f t="shared" si="2"/>
        <v>6</v>
      </c>
    </row>
    <row r="179" spans="1:4">
      <c r="A179" s="223">
        <v>641000</v>
      </c>
      <c r="B179" s="224" t="s">
        <v>62</v>
      </c>
      <c r="C179" s="225">
        <v>-26370.66</v>
      </c>
      <c r="D179" t="str">
        <f t="shared" si="2"/>
        <v>6</v>
      </c>
    </row>
    <row r="180" spans="1:4">
      <c r="A180" s="223">
        <v>641100</v>
      </c>
      <c r="B180" s="224" t="s">
        <v>272</v>
      </c>
      <c r="C180" s="225">
        <v>-101561.71</v>
      </c>
      <c r="D180" t="str">
        <f t="shared" si="2"/>
        <v>6</v>
      </c>
    </row>
    <row r="181" spans="1:4">
      <c r="A181" s="223">
        <v>641101</v>
      </c>
      <c r="B181" s="224" t="s">
        <v>406</v>
      </c>
      <c r="C181" s="225">
        <v>-91.920000000000073</v>
      </c>
      <c r="D181" t="str">
        <f t="shared" si="2"/>
        <v>6</v>
      </c>
    </row>
    <row r="182" spans="1:4">
      <c r="A182" s="223">
        <v>641110</v>
      </c>
      <c r="B182" s="224" t="s">
        <v>273</v>
      </c>
      <c r="C182" s="225">
        <v>-97368.03</v>
      </c>
      <c r="D182" t="str">
        <f t="shared" si="2"/>
        <v>6</v>
      </c>
    </row>
    <row r="183" spans="1:4">
      <c r="A183" s="223">
        <v>641120</v>
      </c>
      <c r="B183" s="224" t="s">
        <v>274</v>
      </c>
      <c r="C183" s="225">
        <v>-412205.98</v>
      </c>
      <c r="D183" t="str">
        <f t="shared" si="2"/>
        <v>6</v>
      </c>
    </row>
    <row r="184" spans="1:4">
      <c r="A184" s="223">
        <v>641122</v>
      </c>
      <c r="B184" s="224" t="s">
        <v>275</v>
      </c>
      <c r="C184" s="225">
        <v>-26946.65</v>
      </c>
      <c r="D184" t="str">
        <f t="shared" si="2"/>
        <v>6</v>
      </c>
    </row>
    <row r="185" spans="1:4">
      <c r="A185" s="223">
        <v>641130</v>
      </c>
      <c r="B185" s="224" t="s">
        <v>276</v>
      </c>
      <c r="C185" s="225">
        <v>-159625.60000000001</v>
      </c>
      <c r="D185" t="str">
        <f t="shared" si="2"/>
        <v>6</v>
      </c>
    </row>
    <row r="186" spans="1:4">
      <c r="A186" s="223">
        <v>641132</v>
      </c>
      <c r="B186" s="224" t="s">
        <v>277</v>
      </c>
      <c r="C186" s="225">
        <v>-2445.2199999999998</v>
      </c>
      <c r="D186" t="str">
        <f t="shared" si="2"/>
        <v>6</v>
      </c>
    </row>
    <row r="187" spans="1:4">
      <c r="A187" s="223">
        <v>641140</v>
      </c>
      <c r="B187" s="224" t="s">
        <v>278</v>
      </c>
      <c r="C187" s="225">
        <v>-353416.19</v>
      </c>
      <c r="D187" t="str">
        <f t="shared" si="2"/>
        <v>6</v>
      </c>
    </row>
    <row r="188" spans="1:4">
      <c r="A188" s="223">
        <v>641150</v>
      </c>
      <c r="B188" s="224" t="s">
        <v>279</v>
      </c>
      <c r="C188" s="225">
        <v>-91481.31</v>
      </c>
      <c r="D188" t="str">
        <f t="shared" si="2"/>
        <v>6</v>
      </c>
    </row>
    <row r="189" spans="1:4">
      <c r="A189" s="223">
        <v>641160</v>
      </c>
      <c r="B189" s="224" t="s">
        <v>280</v>
      </c>
      <c r="C189" s="225">
        <v>-256545.61</v>
      </c>
      <c r="D189" t="str">
        <f t="shared" si="2"/>
        <v>6</v>
      </c>
    </row>
    <row r="190" spans="1:4">
      <c r="A190" s="223">
        <v>641161</v>
      </c>
      <c r="B190" s="224" t="s">
        <v>407</v>
      </c>
      <c r="C190" s="225">
        <v>-6730.97</v>
      </c>
      <c r="D190" t="str">
        <f t="shared" si="2"/>
        <v>6</v>
      </c>
    </row>
    <row r="191" spans="1:4">
      <c r="A191" s="223">
        <v>641162</v>
      </c>
      <c r="B191" s="224" t="s">
        <v>281</v>
      </c>
      <c r="C191" s="225">
        <v>-969</v>
      </c>
      <c r="D191" t="str">
        <f t="shared" si="2"/>
        <v>6</v>
      </c>
    </row>
    <row r="192" spans="1:4">
      <c r="A192" s="223">
        <v>641170</v>
      </c>
      <c r="B192" s="224" t="s">
        <v>282</v>
      </c>
      <c r="C192" s="225">
        <v>-213222.64</v>
      </c>
      <c r="D192" t="str">
        <f t="shared" si="2"/>
        <v>6</v>
      </c>
    </row>
    <row r="193" spans="1:4">
      <c r="A193" s="223">
        <v>641200</v>
      </c>
      <c r="B193" s="224" t="s">
        <v>283</v>
      </c>
      <c r="C193" s="225">
        <v>4248.2700000000041</v>
      </c>
      <c r="D193" t="str">
        <f t="shared" si="2"/>
        <v>6</v>
      </c>
    </row>
    <row r="194" spans="1:4">
      <c r="A194" s="223">
        <v>641400</v>
      </c>
      <c r="B194" s="224" t="s">
        <v>284</v>
      </c>
      <c r="C194" s="225">
        <v>-5861.0100000000011</v>
      </c>
      <c r="D194" t="str">
        <f t="shared" si="2"/>
        <v>6</v>
      </c>
    </row>
    <row r="195" spans="1:4">
      <c r="A195" s="223">
        <v>641410</v>
      </c>
      <c r="B195" s="224" t="s">
        <v>285</v>
      </c>
      <c r="C195" s="225">
        <v>-17241.47</v>
      </c>
      <c r="D195" t="str">
        <f t="shared" ref="D195:D258" si="3">+LEFT(A195,1)</f>
        <v>6</v>
      </c>
    </row>
    <row r="196" spans="1:4">
      <c r="A196" s="223">
        <v>641420</v>
      </c>
      <c r="B196" s="224" t="s">
        <v>286</v>
      </c>
      <c r="C196" s="225">
        <v>-75574.37</v>
      </c>
      <c r="D196" t="str">
        <f t="shared" si="3"/>
        <v>6</v>
      </c>
    </row>
    <row r="197" spans="1:4">
      <c r="A197" s="223">
        <v>641500</v>
      </c>
      <c r="B197" s="224" t="s">
        <v>287</v>
      </c>
      <c r="C197" s="225">
        <v>-16735.66</v>
      </c>
      <c r="D197" t="str">
        <f t="shared" si="3"/>
        <v>6</v>
      </c>
    </row>
    <row r="198" spans="1:4">
      <c r="A198" s="223">
        <v>645000</v>
      </c>
      <c r="B198" s="224" t="s">
        <v>63</v>
      </c>
      <c r="C198" s="225">
        <v>-4913.68</v>
      </c>
      <c r="D198" t="str">
        <f t="shared" si="3"/>
        <v>6</v>
      </c>
    </row>
    <row r="199" spans="1:4">
      <c r="A199" s="223">
        <v>645100</v>
      </c>
      <c r="B199" s="224" t="s">
        <v>408</v>
      </c>
      <c r="C199" s="225">
        <v>-41637.769999999997</v>
      </c>
      <c r="D199" t="str">
        <f t="shared" si="3"/>
        <v>6</v>
      </c>
    </row>
    <row r="200" spans="1:4">
      <c r="A200" s="223">
        <v>645110</v>
      </c>
      <c r="B200" s="224" t="s">
        <v>288</v>
      </c>
      <c r="C200" s="225">
        <v>-39184.26</v>
      </c>
      <c r="D200" t="str">
        <f t="shared" si="3"/>
        <v>6</v>
      </c>
    </row>
    <row r="201" spans="1:4">
      <c r="A201" s="223">
        <v>645120</v>
      </c>
      <c r="B201" s="224" t="s">
        <v>289</v>
      </c>
      <c r="C201" s="225">
        <v>-144266.12</v>
      </c>
      <c r="D201" t="str">
        <f t="shared" si="3"/>
        <v>6</v>
      </c>
    </row>
    <row r="202" spans="1:4">
      <c r="A202" s="223">
        <v>645122</v>
      </c>
      <c r="B202" s="224" t="s">
        <v>290</v>
      </c>
      <c r="C202" s="225">
        <v>-34.03</v>
      </c>
      <c r="D202" t="str">
        <f t="shared" si="3"/>
        <v>6</v>
      </c>
    </row>
    <row r="203" spans="1:4">
      <c r="A203" s="223">
        <v>645130</v>
      </c>
      <c r="B203" s="224" t="s">
        <v>291</v>
      </c>
      <c r="C203" s="225">
        <v>-65179.77</v>
      </c>
      <c r="D203" t="str">
        <f t="shared" si="3"/>
        <v>6</v>
      </c>
    </row>
    <row r="204" spans="1:4">
      <c r="A204" s="223">
        <v>645132</v>
      </c>
      <c r="B204" s="224" t="s">
        <v>292</v>
      </c>
      <c r="C204" s="225">
        <v>-1.19</v>
      </c>
      <c r="D204" t="str">
        <f t="shared" si="3"/>
        <v>6</v>
      </c>
    </row>
    <row r="205" spans="1:4">
      <c r="A205" s="223">
        <v>645140</v>
      </c>
      <c r="B205" s="224" t="s">
        <v>293</v>
      </c>
      <c r="C205" s="225">
        <v>-133158.14000000001</v>
      </c>
      <c r="D205" t="str">
        <f t="shared" si="3"/>
        <v>6</v>
      </c>
    </row>
    <row r="206" spans="1:4">
      <c r="A206" s="223">
        <v>645150</v>
      </c>
      <c r="B206" s="224" t="s">
        <v>294</v>
      </c>
      <c r="C206" s="225">
        <v>-37740.5</v>
      </c>
      <c r="D206" t="str">
        <f t="shared" si="3"/>
        <v>6</v>
      </c>
    </row>
    <row r="207" spans="1:4">
      <c r="A207" s="223">
        <v>645160</v>
      </c>
      <c r="B207" s="224" t="s">
        <v>295</v>
      </c>
      <c r="C207" s="225">
        <v>-112857.52</v>
      </c>
      <c r="D207" t="str">
        <f t="shared" si="3"/>
        <v>6</v>
      </c>
    </row>
    <row r="208" spans="1:4">
      <c r="A208" s="223">
        <v>645161</v>
      </c>
      <c r="B208" s="224" t="s">
        <v>409</v>
      </c>
      <c r="C208" s="225">
        <v>-968.35</v>
      </c>
      <c r="D208" t="str">
        <f t="shared" si="3"/>
        <v>6</v>
      </c>
    </row>
    <row r="209" spans="1:4">
      <c r="A209" s="223">
        <v>645162</v>
      </c>
      <c r="B209" s="224" t="s">
        <v>296</v>
      </c>
      <c r="C209" s="225">
        <v>-0.37</v>
      </c>
      <c r="D209" t="str">
        <f t="shared" si="3"/>
        <v>6</v>
      </c>
    </row>
    <row r="210" spans="1:4">
      <c r="A210" s="223">
        <v>645170</v>
      </c>
      <c r="B210" s="224" t="s">
        <v>297</v>
      </c>
      <c r="C210" s="225">
        <v>-91349.42</v>
      </c>
      <c r="D210" t="str">
        <f t="shared" si="3"/>
        <v>6</v>
      </c>
    </row>
    <row r="211" spans="1:4">
      <c r="A211" s="223">
        <v>645300</v>
      </c>
      <c r="B211" s="224" t="s">
        <v>64</v>
      </c>
      <c r="C211" s="225">
        <v>285.63999999999987</v>
      </c>
      <c r="D211" t="str">
        <f t="shared" si="3"/>
        <v>6</v>
      </c>
    </row>
    <row r="212" spans="1:4">
      <c r="A212" s="223">
        <v>645801</v>
      </c>
      <c r="B212" s="224" t="s">
        <v>65</v>
      </c>
      <c r="C212" s="225">
        <v>-2961.3</v>
      </c>
      <c r="D212" t="str">
        <f t="shared" si="3"/>
        <v>6</v>
      </c>
    </row>
    <row r="213" spans="1:4">
      <c r="A213" s="223">
        <v>645820</v>
      </c>
      <c r="B213" s="224" t="s">
        <v>66</v>
      </c>
      <c r="C213" s="225">
        <v>2494.4199999999983</v>
      </c>
      <c r="D213" t="str">
        <f t="shared" si="3"/>
        <v>6</v>
      </c>
    </row>
    <row r="214" spans="1:4">
      <c r="A214" s="223">
        <v>645850</v>
      </c>
      <c r="B214" s="224" t="s">
        <v>298</v>
      </c>
      <c r="C214" s="225">
        <v>462.23</v>
      </c>
      <c r="D214" t="str">
        <f t="shared" si="3"/>
        <v>6</v>
      </c>
    </row>
    <row r="215" spans="1:4">
      <c r="A215" s="223">
        <v>647100</v>
      </c>
      <c r="B215" s="224" t="s">
        <v>67</v>
      </c>
      <c r="C215" s="225">
        <v>-49348.599999999991</v>
      </c>
      <c r="D215" t="str">
        <f t="shared" si="3"/>
        <v>6</v>
      </c>
    </row>
    <row r="216" spans="1:4">
      <c r="A216" s="223">
        <v>647101</v>
      </c>
      <c r="B216" s="224" t="s">
        <v>299</v>
      </c>
      <c r="C216" s="225">
        <v>-1481.5100000000002</v>
      </c>
      <c r="D216" t="str">
        <f t="shared" si="3"/>
        <v>6</v>
      </c>
    </row>
    <row r="217" spans="1:4">
      <c r="A217" s="223">
        <v>647500</v>
      </c>
      <c r="B217" s="224" t="s">
        <v>68</v>
      </c>
      <c r="C217" s="225">
        <v>-5962.24</v>
      </c>
      <c r="D217" t="str">
        <f t="shared" si="3"/>
        <v>6</v>
      </c>
    </row>
    <row r="218" spans="1:4">
      <c r="A218" s="223">
        <v>648100</v>
      </c>
      <c r="B218" s="224" t="s">
        <v>410</v>
      </c>
      <c r="C218" s="225">
        <v>-30</v>
      </c>
      <c r="D218" t="str">
        <f t="shared" si="3"/>
        <v>6</v>
      </c>
    </row>
    <row r="219" spans="1:4">
      <c r="A219" s="223">
        <v>648200</v>
      </c>
      <c r="B219" s="224" t="s">
        <v>69</v>
      </c>
      <c r="C219" s="225">
        <v>-341.59999999999997</v>
      </c>
      <c r="D219" t="str">
        <f t="shared" si="3"/>
        <v>6</v>
      </c>
    </row>
    <row r="220" spans="1:4">
      <c r="A220" s="223">
        <v>651001</v>
      </c>
      <c r="B220" s="224" t="s">
        <v>300</v>
      </c>
      <c r="C220" s="225">
        <v>-4817.18</v>
      </c>
      <c r="D220" t="str">
        <f t="shared" si="3"/>
        <v>6</v>
      </c>
    </row>
    <row r="221" spans="1:4">
      <c r="A221" s="223">
        <v>651003</v>
      </c>
      <c r="B221" s="224" t="s">
        <v>301</v>
      </c>
      <c r="C221" s="225">
        <v>13.2</v>
      </c>
      <c r="D221" t="str">
        <f t="shared" si="3"/>
        <v>6</v>
      </c>
    </row>
    <row r="222" spans="1:4">
      <c r="A222" s="223">
        <v>651100</v>
      </c>
      <c r="B222" s="224" t="s">
        <v>411</v>
      </c>
      <c r="C222" s="225">
        <v>-8.07</v>
      </c>
      <c r="D222" t="str">
        <f t="shared" si="3"/>
        <v>6</v>
      </c>
    </row>
    <row r="223" spans="1:4">
      <c r="A223" s="223">
        <v>651101</v>
      </c>
      <c r="B223" s="224" t="s">
        <v>412</v>
      </c>
      <c r="C223" s="225">
        <v>-81.84</v>
      </c>
      <c r="D223" t="str">
        <f t="shared" si="3"/>
        <v>6</v>
      </c>
    </row>
    <row r="224" spans="1:4">
      <c r="A224" s="223">
        <v>651102</v>
      </c>
      <c r="B224" s="224" t="s">
        <v>413</v>
      </c>
      <c r="C224" s="225">
        <v>-3300</v>
      </c>
      <c r="D224" t="str">
        <f t="shared" si="3"/>
        <v>6</v>
      </c>
    </row>
    <row r="225" spans="1:4">
      <c r="A225" s="223">
        <v>654000</v>
      </c>
      <c r="B225" s="224" t="s">
        <v>302</v>
      </c>
      <c r="C225" s="225">
        <v>-44161.39</v>
      </c>
      <c r="D225" t="str">
        <f t="shared" si="3"/>
        <v>6</v>
      </c>
    </row>
    <row r="226" spans="1:4">
      <c r="A226" s="223">
        <v>657600</v>
      </c>
      <c r="B226" s="224" t="s">
        <v>303</v>
      </c>
      <c r="C226" s="225">
        <v>-58769.599999999999</v>
      </c>
      <c r="D226" t="str">
        <f t="shared" si="3"/>
        <v>6</v>
      </c>
    </row>
    <row r="227" spans="1:4">
      <c r="A227" s="223">
        <v>657610</v>
      </c>
      <c r="B227" s="224" t="s">
        <v>414</v>
      </c>
      <c r="C227" s="225">
        <v>-10487.72</v>
      </c>
      <c r="D227" t="str">
        <f t="shared" si="3"/>
        <v>6</v>
      </c>
    </row>
    <row r="228" spans="1:4">
      <c r="A228" s="223">
        <v>657640</v>
      </c>
      <c r="B228" s="224" t="s">
        <v>304</v>
      </c>
      <c r="C228" s="225">
        <v>-97898.75</v>
      </c>
      <c r="D228" t="str">
        <f t="shared" si="3"/>
        <v>6</v>
      </c>
    </row>
    <row r="229" spans="1:4">
      <c r="A229" s="223">
        <v>657650</v>
      </c>
      <c r="B229" s="224" t="s">
        <v>305</v>
      </c>
      <c r="C229" s="225">
        <v>-103325.56999999999</v>
      </c>
      <c r="D229" t="str">
        <f t="shared" si="3"/>
        <v>6</v>
      </c>
    </row>
    <row r="230" spans="1:4">
      <c r="A230" s="223">
        <v>657660</v>
      </c>
      <c r="B230" s="224" t="s">
        <v>306</v>
      </c>
      <c r="C230" s="225">
        <v>-149070.06</v>
      </c>
      <c r="D230" t="str">
        <f t="shared" si="3"/>
        <v>6</v>
      </c>
    </row>
    <row r="231" spans="1:4">
      <c r="A231" s="223">
        <v>658000</v>
      </c>
      <c r="B231" s="224" t="s">
        <v>70</v>
      </c>
      <c r="C231" s="225">
        <v>-735.36</v>
      </c>
      <c r="D231" t="str">
        <f t="shared" si="3"/>
        <v>6</v>
      </c>
    </row>
    <row r="232" spans="1:4">
      <c r="A232" s="223">
        <v>661002</v>
      </c>
      <c r="B232" s="224" t="s">
        <v>71</v>
      </c>
      <c r="C232" s="225">
        <v>-25045.420000000002</v>
      </c>
      <c r="D232" t="str">
        <f t="shared" si="3"/>
        <v>6</v>
      </c>
    </row>
    <row r="233" spans="1:4">
      <c r="A233" s="223">
        <v>661600</v>
      </c>
      <c r="B233" s="224" t="s">
        <v>72</v>
      </c>
      <c r="C233" s="225">
        <v>-547.5</v>
      </c>
      <c r="D233" t="str">
        <f t="shared" si="3"/>
        <v>6</v>
      </c>
    </row>
    <row r="234" spans="1:4">
      <c r="A234" s="223">
        <v>666000</v>
      </c>
      <c r="B234" s="224" t="s">
        <v>73</v>
      </c>
      <c r="C234" s="225">
        <v>-32687.439999999999</v>
      </c>
      <c r="D234" t="str">
        <f t="shared" si="3"/>
        <v>6</v>
      </c>
    </row>
    <row r="235" spans="1:4">
      <c r="A235" s="223">
        <v>671200</v>
      </c>
      <c r="B235" s="224" t="s">
        <v>74</v>
      </c>
      <c r="C235" s="225">
        <v>-750</v>
      </c>
      <c r="D235" t="str">
        <f t="shared" si="3"/>
        <v>6</v>
      </c>
    </row>
    <row r="236" spans="1:4">
      <c r="A236" s="223">
        <v>671400</v>
      </c>
      <c r="B236" s="224" t="s">
        <v>415</v>
      </c>
      <c r="C236" s="225">
        <v>-30000</v>
      </c>
      <c r="D236" t="str">
        <f t="shared" si="3"/>
        <v>6</v>
      </c>
    </row>
    <row r="237" spans="1:4">
      <c r="A237" s="223">
        <v>675200</v>
      </c>
      <c r="B237" s="224" t="s">
        <v>416</v>
      </c>
      <c r="C237" s="225">
        <v>-905.67</v>
      </c>
      <c r="D237" t="str">
        <f t="shared" si="3"/>
        <v>6</v>
      </c>
    </row>
    <row r="238" spans="1:4">
      <c r="A238" s="223">
        <v>681110</v>
      </c>
      <c r="B238" s="224" t="s">
        <v>417</v>
      </c>
      <c r="C238" s="225">
        <v>-10319.93</v>
      </c>
      <c r="D238" t="str">
        <f t="shared" si="3"/>
        <v>6</v>
      </c>
    </row>
    <row r="239" spans="1:4">
      <c r="A239" s="223">
        <v>681120</v>
      </c>
      <c r="B239" s="224" t="s">
        <v>75</v>
      </c>
      <c r="C239" s="225">
        <v>-126943.27</v>
      </c>
      <c r="D239" t="str">
        <f t="shared" si="3"/>
        <v>6</v>
      </c>
    </row>
    <row r="240" spans="1:4">
      <c r="A240" s="223">
        <v>681730</v>
      </c>
      <c r="B240" s="224" t="s">
        <v>76</v>
      </c>
      <c r="C240" s="225">
        <v>-28729.38</v>
      </c>
      <c r="D240" t="str">
        <f t="shared" si="3"/>
        <v>6</v>
      </c>
    </row>
    <row r="241" spans="1:4">
      <c r="A241" s="223">
        <v>687000</v>
      </c>
      <c r="B241" s="224" t="s">
        <v>418</v>
      </c>
      <c r="C241" s="225">
        <v>-20000</v>
      </c>
      <c r="D241" t="str">
        <f t="shared" si="3"/>
        <v>6</v>
      </c>
    </row>
    <row r="242" spans="1:4">
      <c r="A242" s="223">
        <v>695000</v>
      </c>
      <c r="B242" s="224" t="s">
        <v>246</v>
      </c>
      <c r="C242" s="225">
        <v>-6484</v>
      </c>
      <c r="D242" t="str">
        <f t="shared" si="3"/>
        <v>6</v>
      </c>
    </row>
    <row r="243" spans="1:4">
      <c r="A243" s="223">
        <v>706202</v>
      </c>
      <c r="B243" s="224" t="s">
        <v>77</v>
      </c>
      <c r="C243" s="225">
        <v>7637.81</v>
      </c>
      <c r="D243" t="str">
        <f t="shared" si="3"/>
        <v>7</v>
      </c>
    </row>
    <row r="244" spans="1:4">
      <c r="A244" s="223">
        <v>706211</v>
      </c>
      <c r="B244" s="224" t="s">
        <v>78</v>
      </c>
      <c r="C244" s="225">
        <v>35531.669999999991</v>
      </c>
      <c r="D244" t="str">
        <f t="shared" si="3"/>
        <v>7</v>
      </c>
    </row>
    <row r="245" spans="1:4">
      <c r="A245" s="223">
        <v>706212</v>
      </c>
      <c r="B245" s="224" t="s">
        <v>79</v>
      </c>
      <c r="C245" s="225">
        <v>781694.76</v>
      </c>
      <c r="D245" t="str">
        <f t="shared" si="3"/>
        <v>7</v>
      </c>
    </row>
    <row r="246" spans="1:4">
      <c r="A246" s="223">
        <v>706213</v>
      </c>
      <c r="B246" s="224" t="s">
        <v>80</v>
      </c>
      <c r="C246" s="225">
        <v>242073.53000000003</v>
      </c>
      <c r="D246" t="str">
        <f t="shared" si="3"/>
        <v>7</v>
      </c>
    </row>
    <row r="247" spans="1:4">
      <c r="A247" s="223">
        <v>706219</v>
      </c>
      <c r="B247" s="224" t="s">
        <v>81</v>
      </c>
      <c r="C247" s="225">
        <v>63674.3</v>
      </c>
      <c r="D247" t="str">
        <f t="shared" si="3"/>
        <v>7</v>
      </c>
    </row>
    <row r="248" spans="1:4">
      <c r="A248" s="223">
        <v>707001</v>
      </c>
      <c r="B248" s="224" t="s">
        <v>419</v>
      </c>
      <c r="C248" s="225">
        <v>6200</v>
      </c>
      <c r="D248" t="str">
        <f t="shared" si="3"/>
        <v>7</v>
      </c>
    </row>
    <row r="249" spans="1:4">
      <c r="A249" s="223">
        <v>707002</v>
      </c>
      <c r="B249" s="224" t="s">
        <v>82</v>
      </c>
      <c r="C249" s="225">
        <v>6782.1</v>
      </c>
      <c r="D249" t="str">
        <f t="shared" si="3"/>
        <v>7</v>
      </c>
    </row>
    <row r="250" spans="1:4">
      <c r="A250" s="223">
        <v>707011</v>
      </c>
      <c r="B250" s="224" t="s">
        <v>83</v>
      </c>
      <c r="C250" s="225">
        <v>183.08</v>
      </c>
      <c r="D250" t="str">
        <f t="shared" si="3"/>
        <v>7</v>
      </c>
    </row>
    <row r="251" spans="1:4">
      <c r="A251" s="223">
        <v>708400</v>
      </c>
      <c r="B251" s="224" t="s">
        <v>84</v>
      </c>
      <c r="C251" s="225">
        <v>50000</v>
      </c>
      <c r="D251" t="str">
        <f t="shared" si="3"/>
        <v>7</v>
      </c>
    </row>
    <row r="252" spans="1:4">
      <c r="A252" s="223">
        <v>708500</v>
      </c>
      <c r="B252" s="224" t="s">
        <v>85</v>
      </c>
      <c r="C252" s="225">
        <v>54.46</v>
      </c>
      <c r="D252" t="str">
        <f t="shared" si="3"/>
        <v>7</v>
      </c>
    </row>
    <row r="253" spans="1:4">
      <c r="A253" s="223">
        <v>708501</v>
      </c>
      <c r="B253" s="224" t="s">
        <v>86</v>
      </c>
      <c r="C253" s="225">
        <v>17332.77</v>
      </c>
      <c r="D253" t="str">
        <f t="shared" si="3"/>
        <v>7</v>
      </c>
    </row>
    <row r="254" spans="1:4">
      <c r="A254" s="223">
        <v>708502</v>
      </c>
      <c r="B254" s="224" t="s">
        <v>307</v>
      </c>
      <c r="C254" s="225">
        <v>81.209999999999994</v>
      </c>
      <c r="D254" t="str">
        <f t="shared" si="3"/>
        <v>7</v>
      </c>
    </row>
    <row r="255" spans="1:4">
      <c r="A255" s="223">
        <v>708503</v>
      </c>
      <c r="B255" s="224" t="s">
        <v>308</v>
      </c>
      <c r="C255" s="225">
        <v>85.1</v>
      </c>
      <c r="D255" t="str">
        <f t="shared" si="3"/>
        <v>7</v>
      </c>
    </row>
    <row r="256" spans="1:4">
      <c r="A256" s="223">
        <v>708504</v>
      </c>
      <c r="B256" s="224" t="s">
        <v>309</v>
      </c>
      <c r="C256" s="225">
        <v>1263.48</v>
      </c>
      <c r="D256" t="str">
        <f t="shared" si="3"/>
        <v>7</v>
      </c>
    </row>
    <row r="257" spans="1:4">
      <c r="A257" s="223">
        <v>708801</v>
      </c>
      <c r="B257" s="224" t="s">
        <v>310</v>
      </c>
      <c r="C257" s="225">
        <v>587.5</v>
      </c>
      <c r="D257" t="str">
        <f t="shared" si="3"/>
        <v>7</v>
      </c>
    </row>
    <row r="258" spans="1:4">
      <c r="A258" s="223">
        <v>708802</v>
      </c>
      <c r="B258" s="224" t="s">
        <v>311</v>
      </c>
      <c r="C258" s="225">
        <v>43441.19</v>
      </c>
      <c r="D258" t="str">
        <f t="shared" si="3"/>
        <v>7</v>
      </c>
    </row>
    <row r="259" spans="1:4">
      <c r="A259" s="223">
        <v>709613</v>
      </c>
      <c r="B259" s="224" t="s">
        <v>87</v>
      </c>
      <c r="C259" s="225">
        <v>-5264.94</v>
      </c>
      <c r="D259" t="str">
        <f t="shared" ref="D259:D289" si="4">+LEFT(A259,1)</f>
        <v>7</v>
      </c>
    </row>
    <row r="260" spans="1:4">
      <c r="A260" s="223">
        <v>709624</v>
      </c>
      <c r="B260" s="224" t="s">
        <v>88</v>
      </c>
      <c r="C260" s="225">
        <v>-18835.32</v>
      </c>
      <c r="D260" t="str">
        <f t="shared" si="4"/>
        <v>7</v>
      </c>
    </row>
    <row r="261" spans="1:4">
      <c r="A261" s="223">
        <v>713550</v>
      </c>
      <c r="B261" s="224" t="s">
        <v>89</v>
      </c>
      <c r="C261" s="225">
        <v>28729.38</v>
      </c>
      <c r="D261" t="str">
        <f t="shared" si="4"/>
        <v>7</v>
      </c>
    </row>
    <row r="262" spans="1:4">
      <c r="A262" s="223">
        <v>741000</v>
      </c>
      <c r="B262" s="224" t="s">
        <v>90</v>
      </c>
      <c r="C262" s="225">
        <v>210700</v>
      </c>
      <c r="D262" t="str">
        <f t="shared" si="4"/>
        <v>7</v>
      </c>
    </row>
    <row r="263" spans="1:4">
      <c r="A263" s="223">
        <v>741200</v>
      </c>
      <c r="B263" s="224" t="s">
        <v>91</v>
      </c>
      <c r="C263" s="225">
        <v>427135.53</v>
      </c>
      <c r="D263" t="str">
        <f t="shared" si="4"/>
        <v>7</v>
      </c>
    </row>
    <row r="264" spans="1:4">
      <c r="A264" s="223">
        <v>741400</v>
      </c>
      <c r="B264" s="224" t="s">
        <v>92</v>
      </c>
      <c r="C264" s="225">
        <v>781131.61</v>
      </c>
      <c r="D264" t="str">
        <f t="shared" si="4"/>
        <v>7</v>
      </c>
    </row>
    <row r="265" spans="1:4">
      <c r="A265" s="223">
        <v>741800</v>
      </c>
      <c r="B265" s="224" t="s">
        <v>93</v>
      </c>
      <c r="C265" s="225">
        <v>2245702.9300000002</v>
      </c>
      <c r="D265" t="str">
        <f t="shared" si="4"/>
        <v>7</v>
      </c>
    </row>
    <row r="266" spans="1:4">
      <c r="A266" s="223">
        <v>751000</v>
      </c>
      <c r="B266" s="224" t="s">
        <v>94</v>
      </c>
      <c r="C266" s="225">
        <v>1429.09</v>
      </c>
      <c r="D266" t="str">
        <f t="shared" si="4"/>
        <v>7</v>
      </c>
    </row>
    <row r="267" spans="1:4">
      <c r="A267" s="223">
        <v>751100</v>
      </c>
      <c r="B267" s="224" t="s">
        <v>95</v>
      </c>
      <c r="C267" s="225">
        <v>907.79999999999973</v>
      </c>
      <c r="D267" t="str">
        <f t="shared" si="4"/>
        <v>7</v>
      </c>
    </row>
    <row r="268" spans="1:4">
      <c r="A268" s="223">
        <v>751101</v>
      </c>
      <c r="B268" s="224" t="s">
        <v>96</v>
      </c>
      <c r="C268" s="225">
        <v>4151</v>
      </c>
      <c r="D268" t="str">
        <f t="shared" si="4"/>
        <v>7</v>
      </c>
    </row>
    <row r="269" spans="1:4">
      <c r="A269" s="223">
        <v>758000</v>
      </c>
      <c r="B269" s="224" t="s">
        <v>97</v>
      </c>
      <c r="C269" s="225">
        <v>16488.28</v>
      </c>
      <c r="D269" t="str">
        <f t="shared" si="4"/>
        <v>7</v>
      </c>
    </row>
    <row r="270" spans="1:4">
      <c r="A270" s="223">
        <v>758011</v>
      </c>
      <c r="B270" s="224" t="s">
        <v>98</v>
      </c>
      <c r="C270" s="225">
        <v>152228</v>
      </c>
      <c r="D270" t="str">
        <f t="shared" si="4"/>
        <v>7</v>
      </c>
    </row>
    <row r="271" spans="1:4">
      <c r="A271" s="223">
        <v>758020</v>
      </c>
      <c r="B271" s="224" t="s">
        <v>140</v>
      </c>
      <c r="C271" s="225">
        <v>14999</v>
      </c>
      <c r="D271" t="str">
        <f t="shared" si="4"/>
        <v>7</v>
      </c>
    </row>
    <row r="272" spans="1:4">
      <c r="A272" s="223">
        <v>758098</v>
      </c>
      <c r="B272" s="224" t="s">
        <v>312</v>
      </c>
      <c r="C272" s="225">
        <v>1695</v>
      </c>
      <c r="D272" t="str">
        <f t="shared" si="4"/>
        <v>7</v>
      </c>
    </row>
    <row r="273" spans="1:4">
      <c r="A273" s="223">
        <v>758099</v>
      </c>
      <c r="B273" s="224" t="s">
        <v>313</v>
      </c>
      <c r="C273" s="225">
        <v>31319.419999999991</v>
      </c>
      <c r="D273" t="str">
        <f t="shared" si="4"/>
        <v>7</v>
      </c>
    </row>
    <row r="274" spans="1:4">
      <c r="A274" s="223">
        <v>758100</v>
      </c>
      <c r="B274" s="224" t="s">
        <v>99</v>
      </c>
      <c r="C274" s="225">
        <v>148308.64000000001</v>
      </c>
      <c r="D274" t="str">
        <f t="shared" si="4"/>
        <v>7</v>
      </c>
    </row>
    <row r="275" spans="1:4">
      <c r="A275" s="223">
        <v>758108</v>
      </c>
      <c r="B275" s="224" t="s">
        <v>100</v>
      </c>
      <c r="C275" s="225">
        <v>35195.259999999995</v>
      </c>
      <c r="D275" t="str">
        <f t="shared" si="4"/>
        <v>7</v>
      </c>
    </row>
    <row r="276" spans="1:4">
      <c r="A276" s="223">
        <v>758109</v>
      </c>
      <c r="B276" s="224" t="s">
        <v>101</v>
      </c>
      <c r="C276" s="225">
        <v>270045.38</v>
      </c>
      <c r="D276" t="str">
        <f t="shared" si="4"/>
        <v>7</v>
      </c>
    </row>
    <row r="277" spans="1:4">
      <c r="A277" s="223">
        <v>758150</v>
      </c>
      <c r="B277" s="224" t="s">
        <v>420</v>
      </c>
      <c r="C277" s="225">
        <v>10000</v>
      </c>
      <c r="D277" t="str">
        <f t="shared" si="4"/>
        <v>7</v>
      </c>
    </row>
    <row r="278" spans="1:4">
      <c r="A278" s="223">
        <v>758200</v>
      </c>
      <c r="B278" s="224" t="s">
        <v>421</v>
      </c>
      <c r="C278" s="225">
        <v>72000</v>
      </c>
      <c r="D278" t="str">
        <f t="shared" si="4"/>
        <v>7</v>
      </c>
    </row>
    <row r="279" spans="1:4">
      <c r="A279" s="223">
        <v>758300</v>
      </c>
      <c r="B279" s="224" t="s">
        <v>102</v>
      </c>
      <c r="C279" s="225">
        <v>413826.53</v>
      </c>
      <c r="D279" t="str">
        <f t="shared" si="4"/>
        <v>7</v>
      </c>
    </row>
    <row r="280" spans="1:4">
      <c r="A280" s="223">
        <v>758560</v>
      </c>
      <c r="B280" s="224" t="s">
        <v>103</v>
      </c>
      <c r="C280" s="225">
        <v>21506</v>
      </c>
      <c r="D280" t="str">
        <f t="shared" si="4"/>
        <v>7</v>
      </c>
    </row>
    <row r="281" spans="1:4">
      <c r="A281" s="223">
        <v>758561</v>
      </c>
      <c r="B281" s="224" t="s">
        <v>104</v>
      </c>
      <c r="C281" s="225">
        <v>30</v>
      </c>
      <c r="D281" t="str">
        <f t="shared" si="4"/>
        <v>7</v>
      </c>
    </row>
    <row r="282" spans="1:4">
      <c r="A282" s="223">
        <v>761000</v>
      </c>
      <c r="B282" s="224" t="s">
        <v>105</v>
      </c>
      <c r="C282" s="225">
        <v>601.41</v>
      </c>
      <c r="D282" t="str">
        <f t="shared" si="4"/>
        <v>7</v>
      </c>
    </row>
    <row r="283" spans="1:4">
      <c r="A283" s="223">
        <v>766000</v>
      </c>
      <c r="B283" s="224" t="s">
        <v>106</v>
      </c>
      <c r="C283" s="225">
        <v>5001.87</v>
      </c>
      <c r="D283" t="str">
        <f t="shared" si="4"/>
        <v>7</v>
      </c>
    </row>
    <row r="284" spans="1:4">
      <c r="A284" s="223">
        <v>775200</v>
      </c>
      <c r="B284" s="224" t="s">
        <v>422</v>
      </c>
      <c r="C284" s="225">
        <v>737.5</v>
      </c>
      <c r="D284" t="str">
        <f t="shared" si="4"/>
        <v>7</v>
      </c>
    </row>
    <row r="285" spans="1:4">
      <c r="A285" s="223">
        <v>781730</v>
      </c>
      <c r="B285" s="224" t="s">
        <v>107</v>
      </c>
      <c r="C285" s="225">
        <v>334418.88</v>
      </c>
      <c r="D285" t="str">
        <f t="shared" si="4"/>
        <v>7</v>
      </c>
    </row>
    <row r="286" spans="1:4">
      <c r="A286" s="223">
        <v>781740</v>
      </c>
      <c r="B286" s="224" t="s">
        <v>423</v>
      </c>
      <c r="C286" s="225">
        <v>40080.46</v>
      </c>
      <c r="D286" t="str">
        <f t="shared" si="4"/>
        <v>7</v>
      </c>
    </row>
    <row r="287" spans="1:4">
      <c r="A287" s="223">
        <v>786620</v>
      </c>
      <c r="B287" s="224" t="s">
        <v>424</v>
      </c>
      <c r="C287" s="225">
        <v>30000</v>
      </c>
      <c r="D287" t="str">
        <f t="shared" si="4"/>
        <v>7</v>
      </c>
    </row>
    <row r="288" spans="1:4">
      <c r="A288" s="223">
        <v>791002</v>
      </c>
      <c r="B288" s="224" t="s">
        <v>108</v>
      </c>
      <c r="C288" s="225">
        <v>-10009.16</v>
      </c>
      <c r="D288" t="str">
        <f t="shared" si="4"/>
        <v>7</v>
      </c>
    </row>
    <row r="289" spans="1:4">
      <c r="A289" s="223">
        <v>791004</v>
      </c>
      <c r="B289" s="224" t="s">
        <v>314</v>
      </c>
      <c r="C289" s="225">
        <v>384588.35</v>
      </c>
      <c r="D289" t="str">
        <f t="shared" si="4"/>
        <v>7</v>
      </c>
    </row>
    <row r="290" spans="1:4">
      <c r="A290" s="223"/>
      <c r="B290" s="224"/>
      <c r="C290" s="225"/>
    </row>
    <row r="291" spans="1:4">
      <c r="A291" s="223"/>
      <c r="B291" s="224"/>
      <c r="C291" s="225"/>
    </row>
    <row r="292" spans="1:4">
      <c r="A292" s="223">
        <v>6</v>
      </c>
      <c r="B292" s="224" t="s">
        <v>109</v>
      </c>
      <c r="C292" s="225">
        <f>+SUMIF(D:D,A292,C:C)</f>
        <v>-6774535.5399999954</v>
      </c>
    </row>
    <row r="293" spans="1:4">
      <c r="A293" s="223">
        <v>7</v>
      </c>
      <c r="B293" s="224" t="s">
        <v>110</v>
      </c>
      <c r="C293" s="225">
        <f>+SUMIF(D:D,A293,C:C)</f>
        <v>6905470.8599999994</v>
      </c>
    </row>
    <row r="294" spans="1:4">
      <c r="A294" s="223"/>
      <c r="B294" s="224"/>
      <c r="C294" s="225">
        <f>C292+C293</f>
        <v>130935.32000000402</v>
      </c>
    </row>
  </sheetData>
  <autoFilter ref="A1:D289" xr:uid="{1F22C703-521B-0E44-B989-CAF2F00C508F}"/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64"/>
  <sheetViews>
    <sheetView showGridLines="0" zoomScale="130" zoomScaleNormal="130" workbookViewId="0">
      <selection activeCell="D11" sqref="D11"/>
    </sheetView>
  </sheetViews>
  <sheetFormatPr baseColWidth="10" defaultRowHeight="14"/>
  <cols>
    <col min="1" max="1" width="9.33203125" style="24" customWidth="1"/>
    <col min="2" max="2" width="31.1640625" style="24" customWidth="1"/>
    <col min="3" max="3" width="13.33203125" style="39" customWidth="1"/>
    <col min="4" max="4" width="64.1640625" style="24" customWidth="1"/>
    <col min="5" max="5" width="34" style="24" customWidth="1"/>
    <col min="6" max="6" width="3.6640625" style="276" customWidth="1"/>
    <col min="7" max="7" width="5.83203125" style="276" customWidth="1"/>
    <col min="8" max="16384" width="10.83203125" style="276"/>
  </cols>
  <sheetData>
    <row r="1" spans="1:6">
      <c r="A1" s="1" t="s">
        <v>111</v>
      </c>
      <c r="B1" s="2"/>
      <c r="C1" s="3"/>
      <c r="D1" s="262" t="s">
        <v>450</v>
      </c>
      <c r="E1" s="2"/>
      <c r="F1" s="266"/>
    </row>
    <row r="2" spans="1:6">
      <c r="A2" s="6"/>
      <c r="B2" s="2" t="s">
        <v>112</v>
      </c>
      <c r="C2" s="3"/>
      <c r="D2" s="4"/>
      <c r="E2" s="2"/>
      <c r="F2" s="266"/>
    </row>
    <row r="3" spans="1:6">
      <c r="A3" s="7"/>
      <c r="B3" s="2" t="s">
        <v>113</v>
      </c>
      <c r="C3" s="3"/>
      <c r="D3" s="4"/>
      <c r="E3" s="2"/>
      <c r="F3" s="266"/>
    </row>
    <row r="4" spans="1:6">
      <c r="A4" s="8"/>
      <c r="B4" s="2" t="s">
        <v>114</v>
      </c>
      <c r="C4" s="3"/>
      <c r="D4" s="4"/>
      <c r="E4" s="2"/>
      <c r="F4" s="266"/>
    </row>
    <row r="5" spans="1:6">
      <c r="A5" s="9"/>
      <c r="B5" s="2" t="s">
        <v>115</v>
      </c>
      <c r="C5" s="3"/>
      <c r="D5" s="4"/>
      <c r="E5" s="2"/>
      <c r="F5" s="266"/>
    </row>
    <row r="6" spans="1:6">
      <c r="A6" s="10"/>
      <c r="B6" s="2" t="s">
        <v>116</v>
      </c>
      <c r="C6" s="3"/>
      <c r="D6" s="4"/>
      <c r="E6" s="2"/>
      <c r="F6" s="266"/>
    </row>
    <row r="7" spans="1:6">
      <c r="A7" s="11"/>
      <c r="B7" s="2" t="s">
        <v>117</v>
      </c>
      <c r="C7" s="3"/>
      <c r="D7" s="4"/>
      <c r="E7" s="2"/>
      <c r="F7" s="277"/>
    </row>
    <row r="8" spans="1:6">
      <c r="A8" s="12"/>
      <c r="B8" s="2" t="s">
        <v>243</v>
      </c>
      <c r="C8" s="3"/>
      <c r="D8" s="4"/>
      <c r="E8" s="13"/>
      <c r="F8" s="266"/>
    </row>
    <row r="9" spans="1:6">
      <c r="A9" s="14"/>
      <c r="B9" s="2" t="s">
        <v>118</v>
      </c>
      <c r="C9" s="3"/>
      <c r="D9" s="4"/>
      <c r="E9" s="2"/>
      <c r="F9" s="266"/>
    </row>
    <row r="10" spans="1:6">
      <c r="A10" s="15"/>
      <c r="B10" s="2"/>
      <c r="C10" s="3"/>
      <c r="D10" s="4"/>
      <c r="E10" s="2"/>
      <c r="F10" s="266"/>
    </row>
    <row r="11" spans="1:6">
      <c r="A11" s="16" t="s">
        <v>119</v>
      </c>
      <c r="B11" s="17"/>
      <c r="C11" s="18"/>
      <c r="D11" s="17"/>
      <c r="E11" s="19"/>
    </row>
    <row r="12" spans="1:6">
      <c r="A12" s="20"/>
      <c r="B12" s="21"/>
      <c r="C12" s="22"/>
      <c r="D12" s="23"/>
    </row>
    <row r="13" spans="1:6">
      <c r="A13" s="25" t="s">
        <v>119</v>
      </c>
      <c r="B13" s="26"/>
      <c r="C13" s="27"/>
      <c r="D13" s="26"/>
      <c r="E13" s="28"/>
    </row>
    <row r="14" spans="1:6">
      <c r="A14" s="29" t="s">
        <v>120</v>
      </c>
      <c r="B14" s="30" t="s">
        <v>121</v>
      </c>
      <c r="C14" s="31" t="s">
        <v>122</v>
      </c>
      <c r="D14" s="30" t="s">
        <v>123</v>
      </c>
      <c r="E14" s="32" t="s">
        <v>124</v>
      </c>
    </row>
    <row r="15" spans="1:6" s="33" customFormat="1">
      <c r="A15" s="33">
        <v>603700</v>
      </c>
      <c r="B15" s="33" t="str">
        <f>VLOOKUP(A15,BG311219_DEF!A:B,2,FALSE)</f>
        <v xml:space="preserve">Variation stock Mches </v>
      </c>
      <c r="C15" s="34">
        <f>-VLOOKUP(A15,BG311219_DEF!A:C,3,FALSE)</f>
        <v>334418.88</v>
      </c>
      <c r="D15" s="253" t="s">
        <v>127</v>
      </c>
      <c r="E15" s="254" t="s">
        <v>125</v>
      </c>
    </row>
    <row r="16" spans="1:6" s="33" customFormat="1">
      <c r="A16" s="33">
        <v>604001</v>
      </c>
      <c r="B16" s="33" t="str">
        <f>VLOOKUP(A16,BG311219_DEF!A:B,2,FALSE)</f>
        <v>Frais NMPP/Presstaliss</v>
      </c>
      <c r="C16" s="34">
        <f>-VLOOKUP(A16,BG311219_DEF!A:C,3,FALSE)</f>
        <v>45984</v>
      </c>
      <c r="D16" s="253" t="s">
        <v>127</v>
      </c>
      <c r="E16" s="254" t="s">
        <v>125</v>
      </c>
    </row>
    <row r="17" spans="1:5" s="33" customFormat="1">
      <c r="A17" s="33">
        <v>604002</v>
      </c>
      <c r="B17" s="33" t="str">
        <f>VLOOKUP(A17,BG311219_DEF!A:B,2,FALSE)</f>
        <v>Prestation services - Album</v>
      </c>
      <c r="C17" s="34">
        <f>-VLOOKUP(A17,BG311219_DEF!A:C,3,FALSE)</f>
        <v>124151.4</v>
      </c>
      <c r="D17" s="253" t="s">
        <v>127</v>
      </c>
      <c r="E17" s="254" t="s">
        <v>125</v>
      </c>
    </row>
    <row r="18" spans="1:5" s="33" customFormat="1">
      <c r="A18" s="33">
        <v>604003</v>
      </c>
      <c r="B18" s="33" t="str">
        <f>VLOOKUP(A18,BG311219_DEF!A:B,2,FALSE)</f>
        <v>Prestation services - Communication</v>
      </c>
      <c r="C18" s="34">
        <f>-VLOOKUP(A18,BG311219_DEF!A:C,3,FALSE)</f>
        <v>135688.01</v>
      </c>
      <c r="D18" s="253" t="s">
        <v>127</v>
      </c>
      <c r="E18" s="254" t="s">
        <v>125</v>
      </c>
    </row>
    <row r="19" spans="1:5" s="33" customFormat="1">
      <c r="A19" s="33">
        <v>604004</v>
      </c>
      <c r="B19" s="33" t="str">
        <f>VLOOKUP(A19,BG311219_DEF!A:B,2,FALSE)</f>
        <v>Prestation services - Recherche</v>
      </c>
      <c r="C19" s="34">
        <f>-VLOOKUP(A19,BG311219_DEF!A:C,3,FALSE)</f>
        <v>6699.36</v>
      </c>
      <c r="D19" s="253" t="s">
        <v>127</v>
      </c>
      <c r="E19" s="254" t="s">
        <v>125</v>
      </c>
    </row>
    <row r="20" spans="1:5" s="33" customFormat="1">
      <c r="A20" s="33">
        <v>604005</v>
      </c>
      <c r="B20" s="33" t="str">
        <f>VLOOKUP(A20,BG311219_DEF!A:B,2,FALSE)</f>
        <v>commission ticket resto</v>
      </c>
      <c r="C20" s="34">
        <f>-VLOOKUP(A20,BG311219_DEF!A:C,3,FALSE)</f>
        <v>4662.28</v>
      </c>
      <c r="D20" s="35" t="s">
        <v>126</v>
      </c>
      <c r="E20" s="246" t="s">
        <v>442</v>
      </c>
    </row>
    <row r="21" spans="1:5" s="33" customFormat="1">
      <c r="A21" s="33">
        <v>604006</v>
      </c>
      <c r="B21" s="33" t="str">
        <f>VLOOKUP(A21,BG311219_DEF!A:B,2,FALSE)</f>
        <v>Prestation services - Mecenat</v>
      </c>
      <c r="C21" s="34">
        <f>-VLOOKUP(A21,BG311219_DEF!A:C,3,FALSE)</f>
        <v>28052.510000000002</v>
      </c>
      <c r="D21" s="247" t="s">
        <v>443</v>
      </c>
      <c r="E21" s="248" t="s">
        <v>440</v>
      </c>
    </row>
    <row r="22" spans="1:5" s="33" customFormat="1">
      <c r="A22" s="33">
        <v>604008</v>
      </c>
      <c r="B22" s="33" t="str">
        <f>VLOOKUP(A22,BG311219_DEF!A:B,2,FALSE)</f>
        <v>Shopify - boutique en ligne</v>
      </c>
      <c r="C22" s="34">
        <f>-VLOOKUP(A22,BG311219_DEF!A:C,3,FALSE)</f>
        <v>1159.06</v>
      </c>
      <c r="D22" s="253" t="s">
        <v>127</v>
      </c>
      <c r="E22" s="254" t="s">
        <v>125</v>
      </c>
    </row>
    <row r="23" spans="1:5" s="33" customFormat="1">
      <c r="A23" s="33">
        <v>604009</v>
      </c>
      <c r="B23" s="33" t="str">
        <f>VLOOKUP(A23,BG311219_DEF!A:B,2,FALSE)</f>
        <v>Frais gestion distributeurs</v>
      </c>
      <c r="C23" s="34">
        <f>-VLOOKUP(A23,BG311219_DEF!A:C,3,FALSE)</f>
        <v>1926.7</v>
      </c>
      <c r="D23" s="253" t="s">
        <v>127</v>
      </c>
      <c r="E23" s="254" t="s">
        <v>125</v>
      </c>
    </row>
    <row r="24" spans="1:5" s="33" customFormat="1">
      <c r="A24" s="33">
        <v>604010</v>
      </c>
      <c r="B24" s="33" t="str">
        <f>VLOOKUP(A24,BG311219_DEF!A:B,2,FALSE)</f>
        <v>Prest. services - Plaidoyer</v>
      </c>
      <c r="C24" s="34">
        <f>-VLOOKUP(A24,BG311219_DEF!A:C,3,FALSE)</f>
        <v>123279.69</v>
      </c>
      <c r="D24" s="255" t="s">
        <v>439</v>
      </c>
      <c r="E24" s="256" t="s">
        <v>440</v>
      </c>
    </row>
    <row r="25" spans="1:5" s="33" customFormat="1">
      <c r="A25" s="33">
        <v>604014</v>
      </c>
      <c r="B25" s="33" t="str">
        <f>VLOOKUP(A25,BG311219_DEF!A:B,2,FALSE)</f>
        <v>Prestation services - Cap B</v>
      </c>
      <c r="C25" s="34">
        <f>-VLOOKUP(A25,BG311219_DEF!A:C,3,FALSE)</f>
        <v>42978.21</v>
      </c>
      <c r="D25" s="36" t="s">
        <v>441</v>
      </c>
      <c r="E25" s="245" t="s">
        <v>125</v>
      </c>
    </row>
    <row r="26" spans="1:5" s="33" customFormat="1">
      <c r="A26" s="33">
        <v>604015</v>
      </c>
      <c r="B26" s="33" t="str">
        <f>VLOOKUP(A26,BG311219_DEF!A:B,2,FALSE)</f>
        <v>Prest. Representant RSF - Recherche</v>
      </c>
      <c r="C26" s="34">
        <f>-VLOOKUP(A26,BG311219_DEF!A:C,3,FALSE)</f>
        <v>15000</v>
      </c>
      <c r="D26" s="253" t="s">
        <v>127</v>
      </c>
      <c r="E26" s="254" t="s">
        <v>125</v>
      </c>
    </row>
    <row r="27" spans="1:5" s="33" customFormat="1">
      <c r="A27" s="33">
        <v>604016</v>
      </c>
      <c r="B27" s="33" t="str">
        <f>VLOOKUP(A27,BG311219_DEF!A:B,2,FALSE)</f>
        <v>Prest. services - Programmes</v>
      </c>
      <c r="C27" s="34">
        <f>-VLOOKUP(A27,BG311219_DEF!A:C,3,FALSE)</f>
        <v>81963.12</v>
      </c>
      <c r="D27" s="263" t="s">
        <v>126</v>
      </c>
      <c r="E27" s="264" t="s">
        <v>442</v>
      </c>
    </row>
    <row r="28" spans="1:5" s="33" customFormat="1">
      <c r="A28" s="33">
        <v>604017</v>
      </c>
      <c r="B28" s="33" t="str">
        <f>VLOOKUP(A28,BG311219_DEF!A:B,2,FALSE)</f>
        <v>Prest. Representant RSF - Bureaux</v>
      </c>
      <c r="C28" s="34">
        <f>-VLOOKUP(A28,BG311219_DEF!A:C,3,FALSE)</f>
        <v>13211.2</v>
      </c>
      <c r="D28" s="36" t="s">
        <v>452</v>
      </c>
      <c r="E28" s="245" t="s">
        <v>440</v>
      </c>
    </row>
    <row r="29" spans="1:5" s="33" customFormat="1">
      <c r="A29" s="33">
        <v>604018</v>
      </c>
      <c r="B29" s="33" t="str">
        <f>VLOOKUP(A29,BG311219_DEF!A:B,2,FALSE)</f>
        <v>Prest. services - Assistance</v>
      </c>
      <c r="C29" s="34">
        <f>-VLOOKUP(A29,BG311219_DEF!A:C,3,FALSE)</f>
        <v>26484</v>
      </c>
      <c r="D29" s="36" t="s">
        <v>441</v>
      </c>
      <c r="E29" s="245" t="s">
        <v>125</v>
      </c>
    </row>
    <row r="30" spans="1:5" s="234" customFormat="1">
      <c r="A30" s="33">
        <v>604019</v>
      </c>
      <c r="B30" s="33" t="str">
        <f>VLOOKUP(A30,BG311219_DEF!A:B,2,FALSE)</f>
        <v>Prest. services - Bureaux</v>
      </c>
      <c r="C30" s="34">
        <f>-VLOOKUP(A30,BG311219_DEF!A:C,3,FALSE)</f>
        <v>22257.46</v>
      </c>
      <c r="D30" s="258" t="s">
        <v>453</v>
      </c>
      <c r="E30" s="259" t="s">
        <v>440</v>
      </c>
    </row>
    <row r="31" spans="1:5" s="33" customFormat="1">
      <c r="A31" s="33">
        <v>605100</v>
      </c>
      <c r="B31" s="33" t="str">
        <f>VLOOKUP(A31,BG311219_DEF!A:B,2,FALSE)</f>
        <v>Libre cours</v>
      </c>
      <c r="C31" s="34">
        <f>-VLOOKUP(A31,BG311219_DEF!A:C,3,FALSE)</f>
        <v>9481.2000000000007</v>
      </c>
      <c r="D31" s="247" t="s">
        <v>443</v>
      </c>
      <c r="E31" s="248" t="s">
        <v>440</v>
      </c>
    </row>
    <row r="32" spans="1:5" s="33" customFormat="1">
      <c r="A32" s="33">
        <v>605200</v>
      </c>
      <c r="B32" s="33" t="str">
        <f>VLOOKUP(A32,BG311219_DEF!A:B,2,FALSE)</f>
        <v>Travaux d'impression, pubø - FG</v>
      </c>
      <c r="C32" s="34">
        <f>-VLOOKUP(A32,BG311219_DEF!A:C,3,FALSE)</f>
        <v>122.98</v>
      </c>
      <c r="D32" s="35" t="s">
        <v>126</v>
      </c>
      <c r="E32" s="246" t="s">
        <v>442</v>
      </c>
    </row>
    <row r="33" spans="1:8" s="33" customFormat="1">
      <c r="A33" s="33">
        <v>605202</v>
      </c>
      <c r="B33" s="33" t="str">
        <f>VLOOKUP(A33,BG311219_DEF!A:B,2,FALSE)</f>
        <v>impression album</v>
      </c>
      <c r="C33" s="34">
        <f>-VLOOKUP(A33,BG311219_DEF!A:C,3,FALSE)</f>
        <v>292217.84000000003</v>
      </c>
      <c r="D33" s="253" t="s">
        <v>127</v>
      </c>
      <c r="E33" s="254" t="s">
        <v>125</v>
      </c>
    </row>
    <row r="34" spans="1:8" s="33" customFormat="1">
      <c r="A34" s="33">
        <v>605203</v>
      </c>
      <c r="B34" s="33" t="str">
        <f>VLOOKUP(A34,BG311219_DEF!A:B,2,FALSE)</f>
        <v>impression communication</v>
      </c>
      <c r="C34" s="34">
        <f>-VLOOKUP(A34,BG311219_DEF!A:C,3,FALSE)</f>
        <v>8972.1999999999989</v>
      </c>
      <c r="D34" s="253" t="s">
        <v>127</v>
      </c>
      <c r="E34" s="254" t="s">
        <v>125</v>
      </c>
    </row>
    <row r="35" spans="1:8" s="33" customFormat="1">
      <c r="A35" s="33">
        <v>605204</v>
      </c>
      <c r="B35" s="33" t="str">
        <f>VLOOKUP(A35,BG311219_DEF!A:B,2,FALSE)</f>
        <v>Impression recherche</v>
      </c>
      <c r="C35" s="34">
        <f>-VLOOKUP(A35,BG311219_DEF!A:C,3,FALSE)</f>
        <v>50.29</v>
      </c>
      <c r="D35" s="253" t="s">
        <v>127</v>
      </c>
      <c r="E35" s="254" t="s">
        <v>125</v>
      </c>
    </row>
    <row r="36" spans="1:8" s="33" customFormat="1">
      <c r="A36" s="33">
        <v>605205</v>
      </c>
      <c r="B36" s="33" t="str">
        <f>VLOOKUP(A36,BG311219_DEF!A:B,2,FALSE)</f>
        <v>Impression mecenat</v>
      </c>
      <c r="C36" s="34">
        <f>-VLOOKUP(A36,BG311219_DEF!A:C,3,FALSE)</f>
        <v>985.56</v>
      </c>
      <c r="D36" s="247" t="s">
        <v>443</v>
      </c>
      <c r="E36" s="248" t="s">
        <v>440</v>
      </c>
    </row>
    <row r="37" spans="1:8" s="33" customFormat="1">
      <c r="A37" s="33">
        <v>605206</v>
      </c>
      <c r="B37" s="33" t="str">
        <f>VLOOKUP(A37,BG311219_DEF!A:B,2,FALSE)</f>
        <v>Impression - Cap B</v>
      </c>
      <c r="C37" s="34">
        <f>-VLOOKUP(A37,BG311219_DEF!A:C,3,FALSE)</f>
        <v>2640.17</v>
      </c>
      <c r="D37" s="253" t="s">
        <v>127</v>
      </c>
      <c r="E37" s="254" t="s">
        <v>125</v>
      </c>
    </row>
    <row r="38" spans="1:8" s="33" customFormat="1">
      <c r="A38" s="33">
        <v>606100</v>
      </c>
      <c r="B38" s="33" t="str">
        <f>VLOOKUP(A38,BG311219_DEF!A:B,2,FALSE)</f>
        <v>Fourniture d'‚nergie rsf</v>
      </c>
      <c r="C38" s="34">
        <f>-VLOOKUP(A38,BG311219_DEF!A:C,3,FALSE)</f>
        <v>2563.2999999999997</v>
      </c>
      <c r="D38" s="35" t="s">
        <v>126</v>
      </c>
      <c r="E38" s="246" t="s">
        <v>442</v>
      </c>
    </row>
    <row r="39" spans="1:8" s="33" customFormat="1">
      <c r="A39" s="33">
        <v>606101</v>
      </c>
      <c r="B39" s="33" t="str">
        <f>VLOOKUP(A39,BG311219_DEF!A:B,2,FALSE)</f>
        <v>Fourniture d'energie erena</v>
      </c>
      <c r="C39" s="34">
        <f>-VLOOKUP(A39,BG311219_DEF!A:C,3,FALSE)</f>
        <v>-2301.8100000000004</v>
      </c>
      <c r="D39" s="36" t="s">
        <v>441</v>
      </c>
      <c r="E39" s="245" t="s">
        <v>125</v>
      </c>
    </row>
    <row r="40" spans="1:8" s="33" customFormat="1">
      <c r="A40" s="33">
        <v>606110</v>
      </c>
      <c r="B40" s="33" t="str">
        <f>VLOOKUP(A40,BG311219_DEF!A:B,2,FALSE)</f>
        <v>fourniture d'eaux erena</v>
      </c>
      <c r="C40" s="34">
        <f>-VLOOKUP(A40,BG311219_DEF!A:C,3,FALSE)</f>
        <v>152.75</v>
      </c>
      <c r="D40" s="36" t="s">
        <v>441</v>
      </c>
      <c r="E40" s="245" t="s">
        <v>125</v>
      </c>
    </row>
    <row r="41" spans="1:8" s="33" customFormat="1">
      <c r="A41" s="33">
        <v>606300</v>
      </c>
      <c r="B41" s="33" t="str">
        <f>VLOOKUP(A41,BG311219_DEF!A:B,2,FALSE)</f>
        <v>Ptts ‚quipements</v>
      </c>
      <c r="C41" s="34">
        <f>-VLOOKUP(A41,BG311219_DEF!A:C,3,FALSE)</f>
        <v>2471.04</v>
      </c>
      <c r="D41" s="35" t="s">
        <v>126</v>
      </c>
      <c r="E41" s="246" t="s">
        <v>442</v>
      </c>
    </row>
    <row r="42" spans="1:8" s="33" customFormat="1">
      <c r="A42" s="33">
        <v>606301</v>
      </c>
      <c r="B42" s="33" t="str">
        <f>VLOOKUP(A42,BG311219_DEF!A:B,2,FALSE)</f>
        <v>petits equipements comm</v>
      </c>
      <c r="C42" s="34">
        <f>-VLOOKUP(A42,BG311219_DEF!A:C,3,FALSE)</f>
        <v>2338.8200000000002</v>
      </c>
      <c r="D42" s="253" t="s">
        <v>127</v>
      </c>
      <c r="E42" s="254" t="s">
        <v>125</v>
      </c>
    </row>
    <row r="43" spans="1:8" s="37" customFormat="1">
      <c r="A43" s="33">
        <v>606302</v>
      </c>
      <c r="B43" s="33" t="str">
        <f>VLOOKUP(A43,BG311219_DEF!A:B,2,FALSE)</f>
        <v>petits ‚quipements recherche</v>
      </c>
      <c r="C43" s="34">
        <f>-VLOOKUP(A43,BG311219_DEF!A:C,3,FALSE)</f>
        <v>129.11000000000001</v>
      </c>
      <c r="D43" s="253" t="s">
        <v>127</v>
      </c>
      <c r="E43" s="254" t="s">
        <v>125</v>
      </c>
      <c r="F43" s="33"/>
      <c r="H43" s="33"/>
    </row>
    <row r="44" spans="1:8" s="33" customFormat="1">
      <c r="A44" s="33">
        <v>606303</v>
      </c>
      <c r="B44" s="33" t="str">
        <f>VLOOKUP(A44,BG311219_DEF!A:B,2,FALSE)</f>
        <v>Petits ‚quipements Album</v>
      </c>
      <c r="C44" s="34">
        <f>-VLOOKUP(A44,BG311219_DEF!A:C,3,FALSE)</f>
        <v>945</v>
      </c>
      <c r="D44" s="253" t="s">
        <v>127</v>
      </c>
      <c r="E44" s="254" t="s">
        <v>125</v>
      </c>
    </row>
    <row r="45" spans="1:8" s="33" customFormat="1">
      <c r="A45" s="33">
        <v>606304</v>
      </c>
      <c r="B45" s="33" t="str">
        <f>VLOOKUP(A45,BG311219_DEF!A:B,2,FALSE)</f>
        <v>Petits equipements Programmes</v>
      </c>
      <c r="C45" s="34">
        <f>-VLOOKUP(A45,BG311219_DEF!A:C,3,FALSE)</f>
        <v>27.55</v>
      </c>
      <c r="D45" s="243" t="s">
        <v>127</v>
      </c>
      <c r="E45" s="244" t="s">
        <v>125</v>
      </c>
    </row>
    <row r="46" spans="1:8" s="33" customFormat="1">
      <c r="A46" s="33">
        <v>606305</v>
      </c>
      <c r="B46" s="33" t="str">
        <f>VLOOKUP(A46,BG311219_DEF!A:B,2,FALSE)</f>
        <v>Petits ‚quipements Assistance</v>
      </c>
      <c r="C46" s="34">
        <f>-VLOOKUP(A46,BG311219_DEF!A:C,3,FALSE)</f>
        <v>4508.91</v>
      </c>
      <c r="D46" s="36" t="s">
        <v>441</v>
      </c>
      <c r="E46" s="245" t="s">
        <v>125</v>
      </c>
    </row>
    <row r="47" spans="1:8" s="33" customFormat="1">
      <c r="A47" s="33">
        <v>606350</v>
      </c>
      <c r="B47" s="33" t="str">
        <f>VLOOKUP(A47,BG311219_DEF!A:B,2,FALSE)</f>
        <v>Fournitures hygiŠne - FG</v>
      </c>
      <c r="C47" s="34">
        <f>-VLOOKUP(A47,BG311219_DEF!A:C,3,FALSE)</f>
        <v>2574.4499999999998</v>
      </c>
      <c r="D47" s="35" t="s">
        <v>126</v>
      </c>
      <c r="E47" s="246" t="s">
        <v>442</v>
      </c>
    </row>
    <row r="48" spans="1:8" s="33" customFormat="1">
      <c r="A48" s="33">
        <v>606351</v>
      </c>
      <c r="B48" s="33" t="str">
        <f>VLOOKUP(A48,BG311219_DEF!A:B,2,FALSE)</f>
        <v>Fournitures hygiŠne - Assistance</v>
      </c>
      <c r="C48" s="34">
        <f>-VLOOKUP(A48,BG311219_DEF!A:C,3,FALSE)</f>
        <v>105.12</v>
      </c>
      <c r="D48" s="36" t="s">
        <v>441</v>
      </c>
      <c r="E48" s="245" t="s">
        <v>125</v>
      </c>
    </row>
    <row r="49" spans="1:5" s="33" customFormat="1">
      <c r="A49" s="33">
        <v>606400</v>
      </c>
      <c r="B49" s="33" t="str">
        <f>VLOOKUP(A49,BG311219_DEF!A:B,2,FALSE)</f>
        <v>Fournitures administratives FG</v>
      </c>
      <c r="C49" s="34">
        <f>-VLOOKUP(A49,BG311219_DEF!A:C,3,FALSE)</f>
        <v>6299.88</v>
      </c>
      <c r="D49" s="35" t="s">
        <v>126</v>
      </c>
      <c r="E49" s="246" t="s">
        <v>442</v>
      </c>
    </row>
    <row r="50" spans="1:5" s="33" customFormat="1">
      <c r="A50" s="33">
        <v>606401</v>
      </c>
      <c r="B50" s="33" t="str">
        <f>VLOOKUP(A50,BG311219_DEF!A:B,2,FALSE)</f>
        <v>Fournitures administratives album</v>
      </c>
      <c r="C50" s="34">
        <f>-VLOOKUP(A50,BG311219_DEF!A:C,3,FALSE)</f>
        <v>709.24</v>
      </c>
      <c r="D50" s="257" t="s">
        <v>439</v>
      </c>
      <c r="E50" s="256" t="s">
        <v>125</v>
      </c>
    </row>
    <row r="51" spans="1:5" s="33" customFormat="1">
      <c r="A51" s="33">
        <v>606402</v>
      </c>
      <c r="B51" s="33" t="str">
        <f>VLOOKUP(A51,BG311219_DEF!A:B,2,FALSE)</f>
        <v>Fournitures administratives recherc</v>
      </c>
      <c r="C51" s="34">
        <f>-VLOOKUP(A51,BG311219_DEF!A:C,3,FALSE)</f>
        <v>133</v>
      </c>
      <c r="D51" s="257" t="s">
        <v>439</v>
      </c>
      <c r="E51" s="256" t="s">
        <v>125</v>
      </c>
    </row>
    <row r="52" spans="1:5" s="33" customFormat="1">
      <c r="A52" s="33">
        <v>606403</v>
      </c>
      <c r="B52" s="33" t="str">
        <f>VLOOKUP(A52,BG311219_DEF!A:B,2,FALSE)</f>
        <v>Fournitures administratives m‚c‚nat</v>
      </c>
      <c r="C52" s="34">
        <f>-VLOOKUP(A52,BG311219_DEF!A:C,3,FALSE)</f>
        <v>19.190000000000001</v>
      </c>
      <c r="D52" s="247" t="s">
        <v>443</v>
      </c>
      <c r="E52" s="248" t="s">
        <v>440</v>
      </c>
    </row>
    <row r="53" spans="1:5" s="33" customFormat="1">
      <c r="A53" s="33">
        <v>611100</v>
      </c>
      <c r="B53" s="33" t="str">
        <f>VLOOKUP(A53,BG311219_DEF!A:B,2,FALSE)</f>
        <v>Fonds d'assistance (particuliers)</v>
      </c>
      <c r="C53" s="34">
        <f>-VLOOKUP(A53,BG311219_DEF!A:C,3,FALSE)</f>
        <v>127447.72</v>
      </c>
      <c r="D53" s="36" t="s">
        <v>441</v>
      </c>
      <c r="E53" s="245" t="s">
        <v>125</v>
      </c>
    </row>
    <row r="54" spans="1:5" s="33" customFormat="1">
      <c r="A54" s="33">
        <v>611102</v>
      </c>
      <c r="B54" s="33" t="str">
        <f>VLOOKUP(A54,BG311219_DEF!A:B,2,FALSE)</f>
        <v>Grant agreement</v>
      </c>
      <c r="C54" s="34">
        <f>-VLOOKUP(A54,BG311219_DEF!A:C,3,FALSE)</f>
        <v>342709.53</v>
      </c>
      <c r="D54" s="36" t="s">
        <v>441</v>
      </c>
      <c r="E54" s="245" t="s">
        <v>125</v>
      </c>
    </row>
    <row r="55" spans="1:5" s="33" customFormat="1">
      <c r="A55" s="33">
        <v>613202</v>
      </c>
      <c r="B55" s="33" t="str">
        <f>VLOOKUP(A55,BG311219_DEF!A:B,2,FALSE)</f>
        <v>Location Recherche</v>
      </c>
      <c r="C55" s="34">
        <f>-VLOOKUP(A55,BG311219_DEF!A:C,3,FALSE)</f>
        <v>950.4</v>
      </c>
      <c r="D55" s="253" t="s">
        <v>127</v>
      </c>
      <c r="E55" s="254" t="s">
        <v>125</v>
      </c>
    </row>
    <row r="56" spans="1:5" s="33" customFormat="1">
      <c r="A56" s="33">
        <v>613203</v>
      </c>
      <c r="B56" s="33" t="str">
        <f>VLOOKUP(A56,BG311219_DEF!A:B,2,FALSE)</f>
        <v>Locations diverses</v>
      </c>
      <c r="C56" s="34">
        <f>-VLOOKUP(A56,BG311219_DEF!A:C,3,FALSE)</f>
        <v>75</v>
      </c>
      <c r="D56" s="253" t="s">
        <v>127</v>
      </c>
      <c r="E56" s="254" t="s">
        <v>125</v>
      </c>
    </row>
    <row r="57" spans="1:5" s="33" customFormat="1">
      <c r="A57" s="33">
        <v>613204</v>
      </c>
      <c r="B57" s="33" t="str">
        <f>VLOOKUP(A57,BG311219_DEF!A:B,2,FALSE)</f>
        <v>Location archivage</v>
      </c>
      <c r="C57" s="34">
        <f>-VLOOKUP(A57,BG311219_DEF!A:C,3,FALSE)</f>
        <v>1349.4099999999999</v>
      </c>
      <c r="D57" s="253" t="s">
        <v>127</v>
      </c>
      <c r="E57" s="254" t="s">
        <v>125</v>
      </c>
    </row>
    <row r="58" spans="1:5" s="33" customFormat="1">
      <c r="A58" s="33">
        <v>613205</v>
      </c>
      <c r="B58" s="33" t="str">
        <f>VLOOKUP(A58,BG311219_DEF!A:B,2,FALSE)</f>
        <v>Location Communication</v>
      </c>
      <c r="C58" s="34">
        <f>-VLOOKUP(A58,BG311219_DEF!A:C,3,FALSE)</f>
        <v>751.68</v>
      </c>
      <c r="D58" s="253" t="s">
        <v>127</v>
      </c>
      <c r="E58" s="254" t="s">
        <v>125</v>
      </c>
    </row>
    <row r="59" spans="1:5" s="33" customFormat="1">
      <c r="A59" s="33">
        <v>613210</v>
      </c>
      <c r="B59" s="33" t="str">
        <f>VLOOKUP(A59,BG311219_DEF!A:B,2,FALSE)</f>
        <v>Loyer Radio ERENA</v>
      </c>
      <c r="C59" s="34">
        <f>-VLOOKUP(A59,BG311219_DEF!A:C,3,FALSE)</f>
        <v>6544.26</v>
      </c>
      <c r="D59" s="36" t="s">
        <v>441</v>
      </c>
      <c r="E59" s="245" t="s">
        <v>125</v>
      </c>
    </row>
    <row r="60" spans="1:5" s="33" customFormat="1">
      <c r="A60" s="33">
        <v>613500</v>
      </c>
      <c r="B60" s="33" t="str">
        <f>VLOOKUP(A60,BG311219_DEF!A:B,2,FALSE)</f>
        <v>Locations mobiliŠres</v>
      </c>
      <c r="C60" s="34">
        <f>-VLOOKUP(A60,BG311219_DEF!A:C,3,FALSE)</f>
        <v>6689.880000000001</v>
      </c>
      <c r="D60" s="35" t="s">
        <v>126</v>
      </c>
      <c r="E60" s="246" t="s">
        <v>442</v>
      </c>
    </row>
    <row r="61" spans="1:5" s="33" customFormat="1">
      <c r="A61" s="33">
        <v>613502</v>
      </c>
      <c r="B61" s="33" t="str">
        <f>VLOOKUP(A61,BG311219_DEF!A:B,2,FALSE)</f>
        <v>Location Mat‚riel - Recherche</v>
      </c>
      <c r="C61" s="34">
        <f>-VLOOKUP(A61,BG311219_DEF!A:C,3,FALSE)</f>
        <v>450</v>
      </c>
      <c r="D61" s="253" t="s">
        <v>127</v>
      </c>
      <c r="E61" s="254" t="s">
        <v>125</v>
      </c>
    </row>
    <row r="62" spans="1:5" s="33" customFormat="1">
      <c r="A62" s="33">
        <v>613503</v>
      </c>
      <c r="B62" s="33" t="str">
        <f>VLOOKUP(A62,BG311219_DEF!A:B,2,FALSE)</f>
        <v>Hebergement internet erena</v>
      </c>
      <c r="C62" s="34">
        <f>-VLOOKUP(A62,BG311219_DEF!A:C,3,FALSE)</f>
        <v>515.4</v>
      </c>
      <c r="D62" s="36" t="s">
        <v>441</v>
      </c>
      <c r="E62" s="245" t="s">
        <v>125</v>
      </c>
    </row>
    <row r="63" spans="1:5" s="33" customFormat="1">
      <c r="A63" s="33">
        <v>613504</v>
      </c>
      <c r="B63" s="33" t="str">
        <f>VLOOKUP(A63,BG311219_DEF!A:B,2,FALSE)</f>
        <v>Hebergement internet collateral</v>
      </c>
      <c r="C63" s="34">
        <f>-VLOOKUP(A63,BG311219_DEF!A:C,3,FALSE)</f>
        <v>3531.3</v>
      </c>
      <c r="D63" s="36" t="s">
        <v>441</v>
      </c>
      <c r="E63" s="245" t="s">
        <v>125</v>
      </c>
    </row>
    <row r="64" spans="1:5" s="33" customFormat="1">
      <c r="A64" s="33">
        <v>613505</v>
      </c>
      <c r="B64" s="33" t="str">
        <f>VLOOKUP(A64,BG311219_DEF!A:B,2,FALSE)</f>
        <v>Hebergement serveurs - FG</v>
      </c>
      <c r="C64" s="34">
        <f>-VLOOKUP(A64,BG311219_DEF!A:C,3,FALSE)</f>
        <v>2546.89</v>
      </c>
      <c r="D64" s="35" t="s">
        <v>126</v>
      </c>
      <c r="E64" s="246" t="s">
        <v>442</v>
      </c>
    </row>
    <row r="65" spans="1:5" s="33" customFormat="1">
      <c r="A65" s="33">
        <v>613700</v>
      </c>
      <c r="B65" s="33" t="str">
        <f>VLOOKUP(A65,BG311219_DEF!A:B,2,FALSE)</f>
        <v>Location mach affranchi</v>
      </c>
      <c r="C65" s="34">
        <f>-VLOOKUP(A65,BG311219_DEF!A:C,3,FALSE)</f>
        <v>622.65</v>
      </c>
      <c r="D65" s="35" t="s">
        <v>126</v>
      </c>
      <c r="E65" s="246" t="s">
        <v>442</v>
      </c>
    </row>
    <row r="66" spans="1:5" s="33" customFormat="1">
      <c r="A66" s="33">
        <v>613800</v>
      </c>
      <c r="B66" s="33" t="str">
        <f>VLOOKUP(A66,BG311219_DEF!A:B,2,FALSE)</f>
        <v>Loyer cb</v>
      </c>
      <c r="C66" s="34">
        <f>-VLOOKUP(A66,BG311219_DEF!A:C,3,FALSE)</f>
        <v>252.5</v>
      </c>
      <c r="D66" s="253" t="s">
        <v>127</v>
      </c>
      <c r="E66" s="254" t="s">
        <v>125</v>
      </c>
    </row>
    <row r="67" spans="1:5" s="33" customFormat="1">
      <c r="A67" s="33">
        <v>613900</v>
      </c>
      <c r="B67" s="33" t="str">
        <f>VLOOKUP(A67,BG311219_DEF!A:B,2,FALSE)</f>
        <v>Location voiture com</v>
      </c>
      <c r="C67" s="34">
        <f>-VLOOKUP(A67,BG311219_DEF!A:C,3,FALSE)</f>
        <v>200</v>
      </c>
      <c r="D67" s="253" t="s">
        <v>127</v>
      </c>
      <c r="E67" s="254" t="s">
        <v>125</v>
      </c>
    </row>
    <row r="68" spans="1:5" s="33" customFormat="1">
      <c r="A68" s="33">
        <v>614000</v>
      </c>
      <c r="B68" s="33" t="str">
        <f>VLOOKUP(A68,BG311219_DEF!A:B,2,FALSE)</f>
        <v>Charges de copropri‚t‚</v>
      </c>
      <c r="C68" s="34">
        <f>-VLOOKUP(A68,BG311219_DEF!A:C,3,FALSE)</f>
        <v>16304.590000000002</v>
      </c>
      <c r="D68" s="35" t="s">
        <v>126</v>
      </c>
      <c r="E68" s="246" t="s">
        <v>442</v>
      </c>
    </row>
    <row r="69" spans="1:5" s="33" customFormat="1">
      <c r="A69" s="33">
        <v>614003</v>
      </c>
      <c r="B69" s="33" t="str">
        <f>VLOOKUP(A69,BG311219_DEF!A:B,2,FALSE)</f>
        <v>Charges de copropri‚t‚ Radio Erena</v>
      </c>
      <c r="C69" s="34">
        <f>-VLOOKUP(A69,BG311219_DEF!A:C,3,FALSE)</f>
        <v>893.72</v>
      </c>
      <c r="D69" s="36" t="s">
        <v>441</v>
      </c>
      <c r="E69" s="245" t="s">
        <v>125</v>
      </c>
    </row>
    <row r="70" spans="1:5" s="33" customFormat="1">
      <c r="A70" s="33">
        <v>615200</v>
      </c>
      <c r="B70" s="33" t="str">
        <f>VLOOKUP(A70,BG311219_DEF!A:B,2,FALSE)</f>
        <v>Entretien &amp; r‚p. s/biens immob.</v>
      </c>
      <c r="C70" s="34">
        <f>-VLOOKUP(A70,BG311219_DEF!A:C,3,FALSE)</f>
        <v>3577.15</v>
      </c>
      <c r="D70" s="35" t="s">
        <v>126</v>
      </c>
      <c r="E70" s="246" t="s">
        <v>442</v>
      </c>
    </row>
    <row r="71" spans="1:5" s="33" customFormat="1">
      <c r="A71" s="33">
        <v>615201</v>
      </c>
      <c r="B71" s="33" t="str">
        <f>VLOOKUP(A71,BG311219_DEF!A:B,2,FALSE)</f>
        <v>Entretien &amp; r‚p. Local Erena</v>
      </c>
      <c r="C71" s="34">
        <f>-VLOOKUP(A71,BG311219_DEF!A:C,3,FALSE)</f>
        <v>2022.84</v>
      </c>
      <c r="D71" s="36" t="s">
        <v>441</v>
      </c>
      <c r="E71" s="245" t="s">
        <v>125</v>
      </c>
    </row>
    <row r="72" spans="1:5" s="33" customFormat="1">
      <c r="A72" s="33">
        <v>615600</v>
      </c>
      <c r="B72" s="33" t="str">
        <f>VLOOKUP(A72,BG311219_DEF!A:B,2,FALSE)</f>
        <v>Maintenance - FG</v>
      </c>
      <c r="C72" s="34">
        <f>-VLOOKUP(A72,BG311219_DEF!A:C,3,FALSE)</f>
        <v>42522.67</v>
      </c>
      <c r="D72" s="255" t="s">
        <v>439</v>
      </c>
      <c r="E72" s="256" t="s">
        <v>125</v>
      </c>
    </row>
    <row r="73" spans="1:5" s="33" customFormat="1">
      <c r="A73" s="33">
        <v>615601</v>
      </c>
      <c r="B73" s="33" t="str">
        <f>VLOOKUP(A73,BG311219_DEF!A:B,2,FALSE)</f>
        <v>Maintenance - Com</v>
      </c>
      <c r="C73" s="34">
        <f>-VLOOKUP(A73,BG311219_DEF!A:C,3,FALSE)</f>
        <v>58573.509999999995</v>
      </c>
      <c r="D73" s="253" t="s">
        <v>127</v>
      </c>
      <c r="E73" s="254" t="s">
        <v>125</v>
      </c>
    </row>
    <row r="74" spans="1:5" s="234" customFormat="1">
      <c r="A74" s="33">
        <v>615602</v>
      </c>
      <c r="B74" s="33" t="str">
        <f>VLOOKUP(A74,BG311219_DEF!A:B,2,FALSE)</f>
        <v>Maintenance - Bureaux</v>
      </c>
      <c r="C74" s="34">
        <f>-VLOOKUP(A74,BG311219_DEF!A:C,3,FALSE)</f>
        <v>92.78</v>
      </c>
      <c r="D74" s="258" t="s">
        <v>445</v>
      </c>
      <c r="E74" s="259" t="s">
        <v>440</v>
      </c>
    </row>
    <row r="75" spans="1:5" s="33" customFormat="1">
      <c r="A75" s="33">
        <v>615603</v>
      </c>
      <c r="B75" s="33" t="str">
        <f>VLOOKUP(A75,BG311219_DEF!A:B,2,FALSE)</f>
        <v>Maintenance - Cap. Bulding</v>
      </c>
      <c r="C75" s="34">
        <f>-VLOOKUP(A75,BG311219_DEF!A:C,3,FALSE)</f>
        <v>4334.46</v>
      </c>
      <c r="D75" s="36" t="s">
        <v>441</v>
      </c>
      <c r="E75" s="245" t="s">
        <v>125</v>
      </c>
    </row>
    <row r="76" spans="1:5" s="33" customFormat="1">
      <c r="A76" s="33">
        <v>616000</v>
      </c>
      <c r="B76" s="33" t="str">
        <f>VLOOKUP(A76,BG311219_DEF!A:B,2,FALSE)</f>
        <v>Assurances - FG</v>
      </c>
      <c r="C76" s="34">
        <f>-VLOOKUP(A76,BG311219_DEF!A:C,3,FALSE)</f>
        <v>3945.46</v>
      </c>
      <c r="D76" s="35" t="s">
        <v>126</v>
      </c>
      <c r="E76" s="246" t="s">
        <v>442</v>
      </c>
    </row>
    <row r="77" spans="1:5" s="33" customFormat="1">
      <c r="A77" s="33">
        <v>616001</v>
      </c>
      <c r="B77" s="33" t="str">
        <f>VLOOKUP(A77,BG311219_DEF!A:B,2,FALSE)</f>
        <v>Assurances - Recherche</v>
      </c>
      <c r="C77" s="34">
        <f>-VLOOKUP(A77,BG311219_DEF!A:C,3,FALSE)</f>
        <v>829.69</v>
      </c>
      <c r="D77" s="253" t="s">
        <v>127</v>
      </c>
      <c r="E77" s="254" t="s">
        <v>125</v>
      </c>
    </row>
    <row r="78" spans="1:5" s="33" customFormat="1">
      <c r="A78" s="33">
        <v>616003</v>
      </c>
      <c r="B78" s="33" t="str">
        <f>VLOOKUP(A78,BG311219_DEF!A:B,2,FALSE)</f>
        <v>Assurances - Erena</v>
      </c>
      <c r="C78" s="34">
        <f>-VLOOKUP(A78,BG311219_DEF!A:C,3,FALSE)</f>
        <v>2406.73</v>
      </c>
      <c r="D78" s="36" t="s">
        <v>441</v>
      </c>
      <c r="E78" s="245" t="s">
        <v>125</v>
      </c>
    </row>
    <row r="79" spans="1:5" s="33" customFormat="1">
      <c r="A79" s="33">
        <v>616005</v>
      </c>
      <c r="B79" s="33" t="str">
        <f>VLOOKUP(A79,BG311219_DEF!A:B,2,FALSE)</f>
        <v>Assurances - Communication</v>
      </c>
      <c r="C79" s="34">
        <f>-VLOOKUP(A79,BG311219_DEF!A:C,3,FALSE)</f>
        <v>79.52</v>
      </c>
      <c r="D79" s="253" t="s">
        <v>127</v>
      </c>
      <c r="E79" s="254" t="s">
        <v>125</v>
      </c>
    </row>
    <row r="80" spans="1:5" s="234" customFormat="1">
      <c r="A80" s="33">
        <v>616006</v>
      </c>
      <c r="B80" s="33" t="str">
        <f>VLOOKUP(A80,BG311219_DEF!A:B,2,FALSE)</f>
        <v>Assurances - Bureaux</v>
      </c>
      <c r="C80" s="34">
        <f>-VLOOKUP(A80,BG311219_DEF!A:C,3,FALSE)</f>
        <v>846.81999999999994</v>
      </c>
      <c r="D80" s="258" t="s">
        <v>445</v>
      </c>
      <c r="E80" s="259" t="s">
        <v>440</v>
      </c>
    </row>
    <row r="81" spans="1:5" s="33" customFormat="1">
      <c r="A81" s="33">
        <v>616007</v>
      </c>
      <c r="B81" s="33" t="str">
        <f>VLOOKUP(A81,BG311219_DEF!A:B,2,FALSE)</f>
        <v>Assurances - Programme</v>
      </c>
      <c r="C81" s="34">
        <f>-VLOOKUP(A81,BG311219_DEF!A:C,3,FALSE)</f>
        <v>248.73</v>
      </c>
      <c r="D81" s="243" t="s">
        <v>127</v>
      </c>
      <c r="E81" s="244" t="s">
        <v>125</v>
      </c>
    </row>
    <row r="82" spans="1:5" s="33" customFormat="1">
      <c r="A82" s="33">
        <v>616008</v>
      </c>
      <c r="B82" s="33" t="str">
        <f>VLOOKUP(A82,BG311219_DEF!A:B,2,FALSE)</f>
        <v>Assurances - Plaidoyer</v>
      </c>
      <c r="C82" s="34">
        <f>-VLOOKUP(A82,BG311219_DEF!A:C,3,FALSE)</f>
        <v>672.75</v>
      </c>
      <c r="D82" s="255" t="s">
        <v>439</v>
      </c>
      <c r="E82" s="256" t="s">
        <v>440</v>
      </c>
    </row>
    <row r="83" spans="1:5" s="33" customFormat="1">
      <c r="A83" s="33">
        <v>616009</v>
      </c>
      <c r="B83" s="33" t="str">
        <f>VLOOKUP(A83,BG311219_DEF!A:B,2,FALSE)</f>
        <v xml:space="preserve">Assurance - Cap. Bulding </v>
      </c>
      <c r="C83" s="34">
        <f>-VLOOKUP(A83,BG311219_DEF!A:C,3,FALSE)</f>
        <v>871.42000000000007</v>
      </c>
      <c r="D83" s="36" t="s">
        <v>452</v>
      </c>
      <c r="E83" s="245" t="s">
        <v>125</v>
      </c>
    </row>
    <row r="84" spans="1:5" s="33" customFormat="1">
      <c r="A84" s="33">
        <v>618004</v>
      </c>
      <c r="B84" s="33" t="str">
        <f>VLOOKUP(A84,BG311219_DEF!A:B,2,FALSE)</f>
        <v>agences afp</v>
      </c>
      <c r="C84" s="34">
        <f>-VLOOKUP(A84,BG311219_DEF!A:C,3,FALSE)</f>
        <v>14936.039999999999</v>
      </c>
      <c r="D84" s="253" t="s">
        <v>127</v>
      </c>
      <c r="E84" s="254" t="s">
        <v>125</v>
      </c>
    </row>
    <row r="85" spans="1:5" s="33" customFormat="1">
      <c r="A85" s="33">
        <v>618100</v>
      </c>
      <c r="B85" s="33" t="str">
        <f>VLOOKUP(A85,BG311219_DEF!A:B,2,FALSE)</f>
        <v>Documentation diverses</v>
      </c>
      <c r="C85" s="34">
        <f>-VLOOKUP(A85,BG311219_DEF!A:C,3,FALSE)</f>
        <v>137.94999999999999</v>
      </c>
      <c r="D85" s="35" t="s">
        <v>126</v>
      </c>
      <c r="E85" s="246" t="s">
        <v>442</v>
      </c>
    </row>
    <row r="86" spans="1:5" s="33" customFormat="1">
      <c r="A86" s="33">
        <v>618101</v>
      </c>
      <c r="B86" s="33" t="str">
        <f>VLOOKUP(A86,BG311219_DEF!A:B,2,FALSE)</f>
        <v>Documentation diverses album</v>
      </c>
      <c r="C86" s="34">
        <f>-VLOOKUP(A86,BG311219_DEF!A:C,3,FALSE)</f>
        <v>383.84</v>
      </c>
      <c r="D86" s="253" t="s">
        <v>127</v>
      </c>
      <c r="E86" s="254" t="s">
        <v>125</v>
      </c>
    </row>
    <row r="87" spans="1:5" s="33" customFormat="1">
      <c r="A87" s="33">
        <v>618102</v>
      </c>
      <c r="B87" s="33" t="str">
        <f>VLOOKUP(A87,BG311219_DEF!A:B,2,FALSE)</f>
        <v>Documentation diverses recherche</v>
      </c>
      <c r="C87" s="34">
        <f>-VLOOKUP(A87,BG311219_DEF!A:C,3,FALSE)</f>
        <v>266.72000000000003</v>
      </c>
      <c r="D87" s="253" t="s">
        <v>127</v>
      </c>
      <c r="E87" s="254" t="s">
        <v>125</v>
      </c>
    </row>
    <row r="88" spans="1:5" s="33" customFormat="1">
      <c r="A88" s="33">
        <v>618301</v>
      </c>
      <c r="B88" s="33" t="str">
        <f>VLOOKUP(A88,BG311219_DEF!A:B,2,FALSE)</f>
        <v>Docs et Abo Techniques - Fundrais.</v>
      </c>
      <c r="C88" s="34">
        <f>-VLOOKUP(A88,BG311219_DEF!A:C,3,FALSE)</f>
        <v>4806.97</v>
      </c>
      <c r="D88" s="260" t="s">
        <v>117</v>
      </c>
      <c r="E88" s="261" t="s">
        <v>125</v>
      </c>
    </row>
    <row r="89" spans="1:5" s="33" customFormat="1">
      <c r="A89" s="33">
        <v>618500</v>
      </c>
      <c r="B89" s="33" t="str">
        <f>VLOOKUP(A89,BG311219_DEF!A:B,2,FALSE)</f>
        <v>Frais s‚minaires, conf. - COM</v>
      </c>
      <c r="C89" s="34">
        <f>-VLOOKUP(A89,BG311219_DEF!A:C,3,FALSE)</f>
        <v>33359.67</v>
      </c>
      <c r="D89" s="35" t="s">
        <v>126</v>
      </c>
      <c r="E89" s="246" t="s">
        <v>442</v>
      </c>
    </row>
    <row r="90" spans="1:5" s="33" customFormat="1">
      <c r="A90" s="33">
        <v>621100</v>
      </c>
      <c r="B90" s="33" t="str">
        <f>VLOOKUP(A90,BG311219_DEF!A:B,2,FALSE)</f>
        <v>Personnel int‚rimaire</v>
      </c>
      <c r="C90" s="34">
        <f>-VLOOKUP(A90,BG311219_DEF!A:C,3,FALSE)</f>
        <v>561.44000000000005</v>
      </c>
      <c r="D90" s="249" t="s">
        <v>444</v>
      </c>
      <c r="E90" s="250" t="s">
        <v>125</v>
      </c>
    </row>
    <row r="91" spans="1:5" s="33" customFormat="1">
      <c r="A91" s="33">
        <v>622008</v>
      </c>
      <c r="B91" s="33" t="str">
        <f>VLOOKUP(A91,BG311219_DEF!A:B,2,FALSE)</f>
        <v>Honoraires trad - Com.</v>
      </c>
      <c r="C91" s="34">
        <f>-VLOOKUP(A91,BG311219_DEF!A:C,3,FALSE)</f>
        <v>1498.8</v>
      </c>
      <c r="D91" s="253" t="s">
        <v>127</v>
      </c>
      <c r="E91" s="254" t="s">
        <v>125</v>
      </c>
    </row>
    <row r="92" spans="1:5" s="33" customFormat="1">
      <c r="A92" s="33">
        <v>622009</v>
      </c>
      <c r="B92" s="33" t="str">
        <f>VLOOKUP(A92,BG311219_DEF!A:B,2,FALSE)</f>
        <v>Honoraires trad - Mecenat</v>
      </c>
      <c r="C92" s="34">
        <f>-VLOOKUP(A92,BG311219_DEF!A:C,3,FALSE)</f>
        <v>951.8</v>
      </c>
      <c r="D92" s="247" t="s">
        <v>443</v>
      </c>
      <c r="E92" s="248" t="s">
        <v>440</v>
      </c>
    </row>
    <row r="93" spans="1:5" s="33" customFormat="1">
      <c r="A93" s="33">
        <v>622010</v>
      </c>
      <c r="B93" s="33" t="str">
        <f>VLOOKUP(A93,BG311219_DEF!A:B,2,FALSE)</f>
        <v>Honoraires juridiques - FG</v>
      </c>
      <c r="C93" s="34">
        <f>-VLOOKUP(A93,BG311219_DEF!A:C,3,FALSE)</f>
        <v>2655.6</v>
      </c>
      <c r="D93" s="35" t="s">
        <v>126</v>
      </c>
      <c r="E93" s="246" t="s">
        <v>442</v>
      </c>
    </row>
    <row r="94" spans="1:5" s="33" customFormat="1">
      <c r="A94" s="33">
        <v>622012</v>
      </c>
      <c r="B94" s="33" t="str">
        <f>VLOOKUP(A94,BG311219_DEF!A:B,2,FALSE)</f>
        <v>Honoraires trad  - Recherche</v>
      </c>
      <c r="C94" s="34">
        <f>-VLOOKUP(A94,BG311219_DEF!A:C,3,FALSE)</f>
        <v>88278.720000000001</v>
      </c>
      <c r="D94" s="253" t="s">
        <v>127</v>
      </c>
      <c r="E94" s="254" t="s">
        <v>125</v>
      </c>
    </row>
    <row r="95" spans="1:5" s="33" customFormat="1">
      <c r="A95" s="33">
        <v>622014</v>
      </c>
      <c r="B95" s="33" t="str">
        <f>VLOOKUP(A95,BG311219_DEF!A:B,2,FALSE)</f>
        <v>Honoraires - Assistance</v>
      </c>
      <c r="C95" s="34">
        <f>-VLOOKUP(A95,BG311219_DEF!A:C,3,FALSE)</f>
        <v>14216.3</v>
      </c>
      <c r="D95" s="36" t="s">
        <v>441</v>
      </c>
      <c r="E95" s="245" t="s">
        <v>125</v>
      </c>
    </row>
    <row r="96" spans="1:5" s="33" customFormat="1">
      <c r="A96" s="33">
        <v>622016</v>
      </c>
      <c r="B96" s="33" t="str">
        <f>VLOOKUP(A96,BG311219_DEF!A:B,2,FALSE)</f>
        <v>Honoraires Trad - Plaidoyer</v>
      </c>
      <c r="C96" s="34">
        <f>-VLOOKUP(A96,BG311219_DEF!A:C,3,FALSE)</f>
        <v>500</v>
      </c>
      <c r="D96" s="255" t="s">
        <v>439</v>
      </c>
      <c r="E96" s="256" t="s">
        <v>440</v>
      </c>
    </row>
    <row r="97" spans="1:8" s="33" customFormat="1">
      <c r="A97" s="33">
        <v>622020</v>
      </c>
      <c r="B97" s="33" t="str">
        <f>VLOOKUP(A97,BG311219_DEF!A:B,2,FALSE)</f>
        <v>Honoraires divers - FG</v>
      </c>
      <c r="C97" s="34">
        <f>-VLOOKUP(A97,BG311219_DEF!A:C,3,FALSE)</f>
        <v>11041.35</v>
      </c>
      <c r="D97" s="35" t="s">
        <v>126</v>
      </c>
      <c r="E97" s="246" t="s">
        <v>442</v>
      </c>
    </row>
    <row r="98" spans="1:8" s="33" customFormat="1">
      <c r="A98" s="33">
        <v>622021</v>
      </c>
      <c r="B98" s="33" t="str">
        <f>VLOOKUP(A98,BG311219_DEF!A:B,2,FALSE)</f>
        <v>Honoraires Expert-comptable Paie</v>
      </c>
      <c r="C98" s="34">
        <f>-VLOOKUP(A98,BG311219_DEF!A:C,3,FALSE)</f>
        <v>15259.630000000001</v>
      </c>
      <c r="D98" s="249" t="s">
        <v>444</v>
      </c>
      <c r="E98" s="250" t="s">
        <v>125</v>
      </c>
    </row>
    <row r="99" spans="1:8" s="33" customFormat="1">
      <c r="A99" s="33">
        <v>622022</v>
      </c>
      <c r="B99" s="33" t="str">
        <f>VLOOKUP(A99,BG311219_DEF!A:B,2,FALSE)</f>
        <v>Honoraires Expert-comptable &amp; CAC</v>
      </c>
      <c r="C99" s="34">
        <f>-VLOOKUP(A99,BG311219_DEF!A:C,3,FALSE)</f>
        <v>40417.020000000004</v>
      </c>
      <c r="D99" s="249" t="s">
        <v>444</v>
      </c>
      <c r="E99" s="250" t="s">
        <v>125</v>
      </c>
    </row>
    <row r="100" spans="1:8" s="33" customFormat="1">
      <c r="A100" s="33">
        <v>622023</v>
      </c>
      <c r="B100" s="33" t="str">
        <f>VLOOKUP(A100,BG311219_DEF!A:B,2,FALSE)</f>
        <v>Honoraires CAC projets</v>
      </c>
      <c r="C100" s="34">
        <f>-VLOOKUP(A100,BG311219_DEF!A:C,3,FALSE)</f>
        <v>19195</v>
      </c>
      <c r="D100" s="253" t="s">
        <v>127</v>
      </c>
      <c r="E100" s="254" t="s">
        <v>125</v>
      </c>
    </row>
    <row r="101" spans="1:8" s="234" customFormat="1">
      <c r="A101" s="33">
        <v>622026</v>
      </c>
      <c r="B101" s="33" t="str">
        <f>VLOOKUP(A101,BG311219_DEF!A:B,2,FALSE)</f>
        <v>Honoraires divers - Bureaux</v>
      </c>
      <c r="C101" s="34">
        <f>-VLOOKUP(A101,BG311219_DEF!A:C,3,FALSE)</f>
        <v>3874.94</v>
      </c>
      <c r="D101" s="258" t="s">
        <v>445</v>
      </c>
      <c r="E101" s="259" t="s">
        <v>440</v>
      </c>
    </row>
    <row r="102" spans="1:8" s="33" customFormat="1">
      <c r="A102" s="33">
        <v>622027</v>
      </c>
      <c r="B102" s="33" t="str">
        <f>VLOOKUP(A102,BG311219_DEF!A:B,2,FALSE)</f>
        <v>Honoraires Social/RH</v>
      </c>
      <c r="C102" s="34">
        <f>-VLOOKUP(A102,BG311219_DEF!A:C,3,FALSE)</f>
        <v>58543.35</v>
      </c>
      <c r="D102" s="35" t="s">
        <v>126</v>
      </c>
      <c r="E102" s="246" t="s">
        <v>442</v>
      </c>
    </row>
    <row r="103" spans="1:8" s="33" customFormat="1">
      <c r="A103" s="33">
        <v>622028</v>
      </c>
      <c r="B103" s="33" t="str">
        <f>VLOOKUP(A103,BG311219_DEF!A:B,2,FALSE)</f>
        <v>Honoraires divers - Plaidoyer</v>
      </c>
      <c r="C103" s="34">
        <f>-VLOOKUP(A103,BG311219_DEF!A:C,3,FALSE)</f>
        <v>3740</v>
      </c>
      <c r="D103" s="255" t="s">
        <v>439</v>
      </c>
      <c r="E103" s="256" t="s">
        <v>440</v>
      </c>
    </row>
    <row r="104" spans="1:8" s="33" customFormat="1">
      <c r="A104" s="33">
        <v>622030</v>
      </c>
      <c r="B104" s="33" t="str">
        <f>VLOOKUP(A104,BG311219_DEF!A:B,2,FALSE)</f>
        <v>Commissions sur publicit‚</v>
      </c>
      <c r="C104" s="34">
        <f>-VLOOKUP(A104,BG311219_DEF!A:C,3,FALSE)</f>
        <v>25789.35</v>
      </c>
      <c r="D104" s="253" t="s">
        <v>127</v>
      </c>
      <c r="E104" s="254" t="s">
        <v>125</v>
      </c>
    </row>
    <row r="105" spans="1:8" s="33" customFormat="1">
      <c r="A105" s="33">
        <v>622100</v>
      </c>
      <c r="B105" s="33" t="str">
        <f>VLOOKUP(A105,BG311219_DEF!A:B,2,FALSE)</f>
        <v>piges Asie</v>
      </c>
      <c r="C105" s="34">
        <f>-VLOOKUP(A105,BG311219_DEF!A:C,3,FALSE)</f>
        <v>31876.25</v>
      </c>
      <c r="D105" s="253" t="s">
        <v>127</v>
      </c>
      <c r="E105" s="254" t="s">
        <v>125</v>
      </c>
    </row>
    <row r="106" spans="1:8" s="33" customFormat="1">
      <c r="A106" s="33">
        <v>622110</v>
      </c>
      <c r="B106" s="33" t="str">
        <f>VLOOKUP(A106,BG311219_DEF!A:B,2,FALSE)</f>
        <v>piges Afrique</v>
      </c>
      <c r="C106" s="34">
        <f>-VLOOKUP(A106,BG311219_DEF!A:C,3,FALSE)</f>
        <v>25853.95</v>
      </c>
      <c r="D106" s="253" t="s">
        <v>127</v>
      </c>
      <c r="E106" s="254" t="s">
        <v>125</v>
      </c>
    </row>
    <row r="107" spans="1:8" s="33" customFormat="1">
      <c r="A107" s="33">
        <v>622111</v>
      </c>
      <c r="B107" s="33" t="str">
        <f>VLOOKUP(A107,BG311219_DEF!A:B,2,FALSE)</f>
        <v>piges afrique erena</v>
      </c>
      <c r="C107" s="34">
        <f>-VLOOKUP(A107,BG311219_DEF!A:C,3,FALSE)</f>
        <v>57370</v>
      </c>
      <c r="D107" s="36" t="s">
        <v>441</v>
      </c>
      <c r="E107" s="245" t="s">
        <v>125</v>
      </c>
    </row>
    <row r="108" spans="1:8" s="33" customFormat="1">
      <c r="A108" s="33">
        <v>622120</v>
      </c>
      <c r="B108" s="33" t="str">
        <f>VLOOKUP(A108,BG311219_DEF!A:B,2,FALSE)</f>
        <v>piges Europe</v>
      </c>
      <c r="C108" s="34">
        <f>-VLOOKUP(A108,BG311219_DEF!A:C,3,FALSE)</f>
        <v>34732.5</v>
      </c>
      <c r="D108" s="253" t="s">
        <v>127</v>
      </c>
      <c r="E108" s="254" t="s">
        <v>125</v>
      </c>
    </row>
    <row r="109" spans="1:8" s="33" customFormat="1">
      <c r="A109" s="33">
        <v>622130</v>
      </c>
      <c r="B109" s="33" t="str">
        <f>VLOOKUP(A109,BG311219_DEF!A:B,2,FALSE)</f>
        <v>piges Am‚riques</v>
      </c>
      <c r="C109" s="34">
        <f>-VLOOKUP(A109,BG311219_DEF!A:C,3,FALSE)</f>
        <v>6269.56</v>
      </c>
      <c r="D109" s="253" t="s">
        <v>127</v>
      </c>
      <c r="E109" s="254" t="s">
        <v>125</v>
      </c>
    </row>
    <row r="110" spans="1:8" s="33" customFormat="1">
      <c r="A110" s="33">
        <v>622140</v>
      </c>
      <c r="B110" s="33" t="str">
        <f>VLOOKUP(A110,BG311219_DEF!A:B,2,FALSE)</f>
        <v>piges Moyen-Orient</v>
      </c>
      <c r="C110" s="34">
        <f>-VLOOKUP(A110,BG311219_DEF!A:C,3,FALSE)</f>
        <v>62918.6</v>
      </c>
      <c r="D110" s="253" t="s">
        <v>127</v>
      </c>
      <c r="E110" s="254" t="s">
        <v>125</v>
      </c>
    </row>
    <row r="111" spans="1:8" s="38" customFormat="1">
      <c r="A111" s="33">
        <v>622170</v>
      </c>
      <c r="B111" s="33" t="str">
        <f>VLOOKUP(A111,BG311219_DEF!A:B,2,FALSE)</f>
        <v>Piges classement</v>
      </c>
      <c r="C111" s="34">
        <f>-VLOOKUP(A111,BG311219_DEF!A:C,3,FALSE)</f>
        <v>506.4</v>
      </c>
      <c r="D111" s="253" t="s">
        <v>127</v>
      </c>
      <c r="E111" s="254" t="s">
        <v>125</v>
      </c>
      <c r="F111" s="33"/>
      <c r="H111" s="33"/>
    </row>
    <row r="112" spans="1:8" s="33" customFormat="1">
      <c r="A112" s="33">
        <v>622200</v>
      </c>
      <c r="B112" s="33" t="str">
        <f>VLOOKUP(A112,BG311219_DEF!A:B,2,FALSE)</f>
        <v>Commissions sur ventes albums</v>
      </c>
      <c r="C112" s="34">
        <f>-VLOOKUP(A112,BG311219_DEF!A:C,3,FALSE)</f>
        <v>-497</v>
      </c>
      <c r="D112" s="253" t="s">
        <v>127</v>
      </c>
      <c r="E112" s="254" t="s">
        <v>125</v>
      </c>
    </row>
    <row r="113" spans="1:5" s="33" customFormat="1">
      <c r="A113" s="33">
        <v>622801</v>
      </c>
      <c r="B113" s="33" t="str">
        <f>VLOOKUP(A113,BG311219_DEF!A:B,2,FALSE)</f>
        <v>Commissions WAGRAM Prorata</v>
      </c>
      <c r="C113" s="34">
        <f>-VLOOKUP(A113,BG311219_DEF!A:C,3,FALSE)</f>
        <v>244.02</v>
      </c>
      <c r="D113" s="35" t="s">
        <v>126</v>
      </c>
      <c r="E113" s="246" t="s">
        <v>442</v>
      </c>
    </row>
    <row r="114" spans="1:5" s="33" customFormat="1">
      <c r="A114" s="33">
        <v>622802</v>
      </c>
      <c r="B114" s="33" t="str">
        <f>VLOOKUP(A114,BG311219_DEF!A:B,2,FALSE)</f>
        <v>Commissions WAGRAM</v>
      </c>
      <c r="C114" s="34">
        <f>-VLOOKUP(A114,BG311219_DEF!A:C,3,FALSE)</f>
        <v>2189.1</v>
      </c>
      <c r="D114" s="35" t="s">
        <v>126</v>
      </c>
      <c r="E114" s="246" t="s">
        <v>442</v>
      </c>
    </row>
    <row r="115" spans="1:5" s="33" customFormat="1">
      <c r="A115" s="33">
        <v>623001</v>
      </c>
      <c r="B115" s="33" t="str">
        <f>VLOOKUP(A115,BG311219_DEF!A:B,2,FALSE)</f>
        <v>promotion RSF Album</v>
      </c>
      <c r="C115" s="34">
        <f>-VLOOKUP(A115,BG311219_DEF!A:C,3,FALSE)</f>
        <v>84958.57</v>
      </c>
      <c r="D115" s="253" t="s">
        <v>127</v>
      </c>
      <c r="E115" s="254" t="s">
        <v>125</v>
      </c>
    </row>
    <row r="116" spans="1:5" s="33" customFormat="1">
      <c r="A116" s="33">
        <v>623300</v>
      </c>
      <c r="B116" s="33" t="str">
        <f>VLOOKUP(A116,BG311219_DEF!A:B,2,FALSE)</f>
        <v>Annonces et insertion</v>
      </c>
      <c r="C116" s="34">
        <f>-VLOOKUP(A116,BG311219_DEF!A:C,3,FALSE)</f>
        <v>144</v>
      </c>
      <c r="D116" s="35" t="s">
        <v>126</v>
      </c>
      <c r="E116" s="246" t="s">
        <v>442</v>
      </c>
    </row>
    <row r="117" spans="1:5" s="33" customFormat="1">
      <c r="A117" s="33">
        <v>623302</v>
      </c>
      <c r="B117" s="33" t="str">
        <f>VLOOKUP(A117,BG311219_DEF!A:B,2,FALSE)</f>
        <v>Annonces et insersion - RH</v>
      </c>
      <c r="C117" s="34">
        <f>-VLOOKUP(A117,BG311219_DEF!A:C,3,FALSE)</f>
        <v>104.04</v>
      </c>
      <c r="D117" s="35" t="s">
        <v>126</v>
      </c>
      <c r="E117" s="246" t="s">
        <v>442</v>
      </c>
    </row>
    <row r="118" spans="1:5" s="33" customFormat="1">
      <c r="A118" s="33">
        <v>623304</v>
      </c>
      <c r="B118" s="33" t="str">
        <f>VLOOKUP(A118,BG311219_DEF!A:B,2,FALSE)</f>
        <v>Forums et Expo - Com</v>
      </c>
      <c r="C118" s="34">
        <f>-VLOOKUP(A118,BG311219_DEF!A:C,3,FALSE)</f>
        <v>22234.799999999999</v>
      </c>
      <c r="D118" s="253" t="s">
        <v>127</v>
      </c>
      <c r="E118" s="254" t="s">
        <v>125</v>
      </c>
    </row>
    <row r="119" spans="1:5" s="33" customFormat="1">
      <c r="A119" s="33">
        <v>623400</v>
      </c>
      <c r="B119" s="33" t="str">
        <f>VLOOKUP(A119,BG311219_DEF!A:B,2,FALSE)</f>
        <v>Cadeaux - FG</v>
      </c>
      <c r="C119" s="34">
        <f>-VLOOKUP(A119,BG311219_DEF!A:C,3,FALSE)</f>
        <v>2061.6</v>
      </c>
      <c r="D119" s="249" t="s">
        <v>444</v>
      </c>
      <c r="E119" s="250" t="s">
        <v>125</v>
      </c>
    </row>
    <row r="120" spans="1:5" s="33" customFormat="1">
      <c r="A120" s="33">
        <v>623401</v>
      </c>
      <c r="B120" s="33" t="str">
        <f>VLOOKUP(A120,BG311219_DEF!A:B,2,FALSE)</f>
        <v>cadeaux salaries - RH</v>
      </c>
      <c r="C120" s="34">
        <f>-VLOOKUP(A120,BG311219_DEF!A:C,3,FALSE)</f>
        <v>4767.93</v>
      </c>
      <c r="D120" s="35" t="s">
        <v>126</v>
      </c>
      <c r="E120" s="246" t="s">
        <v>442</v>
      </c>
    </row>
    <row r="121" spans="1:5" s="33" customFormat="1">
      <c r="A121" s="33">
        <v>623402</v>
      </c>
      <c r="B121" s="33" t="str">
        <f>VLOOKUP(A121,BG311219_DEF!A:B,2,FALSE)</f>
        <v>Cadeaux - Recherche</v>
      </c>
      <c r="C121" s="34">
        <f>-VLOOKUP(A121,BG311219_DEF!A:C,3,FALSE)</f>
        <v>69.17</v>
      </c>
      <c r="D121" s="253" t="s">
        <v>127</v>
      </c>
      <c r="E121" s="254" t="s">
        <v>125</v>
      </c>
    </row>
    <row r="122" spans="1:5" s="33" customFormat="1">
      <c r="A122" s="33">
        <v>623403</v>
      </c>
      <c r="B122" s="33" t="str">
        <f>VLOOKUP(A122,BG311219_DEF!A:B,2,FALSE)</f>
        <v>Cadeaux -Album</v>
      </c>
      <c r="C122" s="34">
        <f>-VLOOKUP(A122,BG311219_DEF!A:C,3,FALSE)</f>
        <v>91.66</v>
      </c>
      <c r="D122" s="253" t="s">
        <v>127</v>
      </c>
      <c r="E122" s="254" t="s">
        <v>125</v>
      </c>
    </row>
    <row r="123" spans="1:5" s="33" customFormat="1">
      <c r="A123" s="33">
        <v>623404</v>
      </c>
      <c r="B123" s="33" t="str">
        <f>VLOOKUP(A123,BG311219_DEF!A:B,2,FALSE)</f>
        <v>Cadeaux - Mecenat</v>
      </c>
      <c r="C123" s="34">
        <f>-VLOOKUP(A123,BG311219_DEF!A:C,3,FALSE)</f>
        <v>65</v>
      </c>
      <c r="D123" s="247" t="s">
        <v>443</v>
      </c>
      <c r="E123" s="248" t="s">
        <v>440</v>
      </c>
    </row>
    <row r="124" spans="1:5" s="33" customFormat="1">
      <c r="A124" s="33">
        <v>623800</v>
      </c>
      <c r="B124" s="33" t="str">
        <f>VLOOKUP(A124,BG311219_DEF!A:B,2,FALSE)</f>
        <v>Divers (pourboires, dons courants)</v>
      </c>
      <c r="C124" s="34">
        <f>-VLOOKUP(A124,BG311219_DEF!A:C,3,FALSE)</f>
        <v>100</v>
      </c>
      <c r="D124" s="253" t="s">
        <v>127</v>
      </c>
      <c r="E124" s="254" t="s">
        <v>125</v>
      </c>
    </row>
    <row r="125" spans="1:5" s="33" customFormat="1">
      <c r="A125" s="33">
        <v>624000</v>
      </c>
      <c r="B125" s="33" t="str">
        <f>VLOOKUP(A125,BG311219_DEF!A:B,2,FALSE)</f>
        <v>Coursiers - Album</v>
      </c>
      <c r="C125" s="34">
        <f>-VLOOKUP(A125,BG311219_DEF!A:C,3,FALSE)</f>
        <v>103.54</v>
      </c>
      <c r="D125" s="253" t="s">
        <v>127</v>
      </c>
      <c r="E125" s="254" t="s">
        <v>125</v>
      </c>
    </row>
    <row r="126" spans="1:5" s="33" customFormat="1">
      <c r="A126" s="33">
        <v>624001</v>
      </c>
      <c r="B126" s="33" t="str">
        <f>VLOOKUP(A126,BG311219_DEF!A:B,2,FALSE)</f>
        <v>Coursiers - Com.</v>
      </c>
      <c r="C126" s="34">
        <f>-VLOOKUP(A126,BG311219_DEF!A:C,3,FALSE)</f>
        <v>308.42</v>
      </c>
      <c r="D126" s="253" t="s">
        <v>127</v>
      </c>
      <c r="E126" s="254" t="s">
        <v>125</v>
      </c>
    </row>
    <row r="127" spans="1:5" s="33" customFormat="1">
      <c r="A127" s="33">
        <v>624801</v>
      </c>
      <c r="B127" s="33" t="str">
        <f>VLOOKUP(A127,BG311219_DEF!A:B,2,FALSE)</f>
        <v>Frais de transport Communication</v>
      </c>
      <c r="C127" s="34">
        <f>-VLOOKUP(A127,BG311219_DEF!A:C,3,FALSE)</f>
        <v>57</v>
      </c>
      <c r="D127" s="253" t="s">
        <v>127</v>
      </c>
      <c r="E127" s="254" t="s">
        <v>125</v>
      </c>
    </row>
    <row r="128" spans="1:5" s="33" customFormat="1">
      <c r="A128" s="33">
        <v>625010</v>
      </c>
      <c r="B128" s="33" t="str">
        <f>VLOOKUP(A128,BG311219_DEF!A:B,2,FALSE)</f>
        <v>Frais de repas structure - FG</v>
      </c>
      <c r="C128" s="34">
        <f>-VLOOKUP(A128,BG311219_DEF!A:C,3,FALSE)</f>
        <v>3514.6200000000003</v>
      </c>
      <c r="D128" s="249" t="s">
        <v>444</v>
      </c>
      <c r="E128" s="250" t="s">
        <v>125</v>
      </c>
    </row>
    <row r="129" spans="1:5" s="33" customFormat="1">
      <c r="A129" s="33">
        <v>625011</v>
      </c>
      <c r="B129" s="33" t="str">
        <f>VLOOKUP(A129,BG311219_DEF!A:B,2,FALSE)</f>
        <v>Frais de repas - Communication</v>
      </c>
      <c r="C129" s="34">
        <f>-VLOOKUP(A129,BG311219_DEF!A:C,3,FALSE)</f>
        <v>4149.7</v>
      </c>
      <c r="D129" s="253" t="s">
        <v>127</v>
      </c>
      <c r="E129" s="254" t="s">
        <v>125</v>
      </c>
    </row>
    <row r="130" spans="1:5" s="33" customFormat="1">
      <c r="A130" s="33">
        <v>625012</v>
      </c>
      <c r="B130" s="33" t="str">
        <f>VLOOKUP(A130,BG311219_DEF!A:B,2,FALSE)</f>
        <v>Frais de repas - Repr‚sentation FG</v>
      </c>
      <c r="C130" s="34">
        <f>-VLOOKUP(A130,BG311219_DEF!A:C,3,FALSE)</f>
        <v>714.85</v>
      </c>
      <c r="D130" s="249" t="s">
        <v>444</v>
      </c>
      <c r="E130" s="250" t="s">
        <v>125</v>
      </c>
    </row>
    <row r="131" spans="1:5" s="33" customFormat="1">
      <c r="A131" s="33">
        <v>625014</v>
      </c>
      <c r="B131" s="33" t="str">
        <f>VLOOKUP(A131,BG311219_DEF!A:B,2,FALSE)</f>
        <v>Frais de repas - album</v>
      </c>
      <c r="C131" s="34">
        <f>-VLOOKUP(A131,BG311219_DEF!A:C,3,FALSE)</f>
        <v>1795.22</v>
      </c>
      <c r="D131" s="253" t="s">
        <v>127</v>
      </c>
      <c r="E131" s="254" t="s">
        <v>125</v>
      </c>
    </row>
    <row r="132" spans="1:5" s="33" customFormat="1">
      <c r="A132" s="33">
        <v>625015</v>
      </c>
      <c r="B132" s="33" t="str">
        <f>VLOOKUP(A132,BG311219_DEF!A:B,2,FALSE)</f>
        <v>Frais de repas - Recherche</v>
      </c>
      <c r="C132" s="34">
        <f>-VLOOKUP(A132,BG311219_DEF!A:C,3,FALSE)</f>
        <v>18576.899999999998</v>
      </c>
      <c r="D132" s="253" t="s">
        <v>127</v>
      </c>
      <c r="E132" s="254" t="s">
        <v>125</v>
      </c>
    </row>
    <row r="133" spans="1:5" s="33" customFormat="1">
      <c r="A133" s="33">
        <v>625016</v>
      </c>
      <c r="B133" s="33" t="str">
        <f>VLOOKUP(A133,BG311219_DEF!A:B,2,FALSE)</f>
        <v>Frais de repas - M‚c‚nat</v>
      </c>
      <c r="C133" s="34">
        <f>-VLOOKUP(A133,BG311219_DEF!A:C,3,FALSE)</f>
        <v>899.21</v>
      </c>
      <c r="D133" s="247" t="s">
        <v>443</v>
      </c>
      <c r="E133" s="248" t="s">
        <v>440</v>
      </c>
    </row>
    <row r="134" spans="1:5" s="33" customFormat="1">
      <c r="A134" s="33">
        <v>625017</v>
      </c>
      <c r="B134" s="33" t="str">
        <f>VLOOKUP(A134,BG311219_DEF!A:B,2,FALSE)</f>
        <v>Frais de repas - Programmes</v>
      </c>
      <c r="C134" s="34">
        <f>-VLOOKUP(A134,BG311219_DEF!A:C,3,FALSE)</f>
        <v>855.21</v>
      </c>
      <c r="D134" s="243" t="s">
        <v>127</v>
      </c>
      <c r="E134" s="244" t="s">
        <v>125</v>
      </c>
    </row>
    <row r="135" spans="1:5" s="33" customFormat="1">
      <c r="A135" s="33">
        <v>625018</v>
      </c>
      <c r="B135" s="33" t="str">
        <f>VLOOKUP(A135,BG311219_DEF!A:B,2,FALSE)</f>
        <v>Frais de repas - CapB</v>
      </c>
      <c r="C135" s="34">
        <f>-VLOOKUP(A135,BG311219_DEF!A:C,3,FALSE)</f>
        <v>7498.5800000000008</v>
      </c>
      <c r="D135" s="36" t="s">
        <v>452</v>
      </c>
      <c r="E135" s="245" t="s">
        <v>125</v>
      </c>
    </row>
    <row r="136" spans="1:5" s="33" customFormat="1">
      <c r="A136" s="33">
        <v>625019</v>
      </c>
      <c r="B136" s="33" t="str">
        <f>VLOOKUP(A136,BG311219_DEF!A:B,2,FALSE)</f>
        <v>Frais de repas - Plaidoyer</v>
      </c>
      <c r="C136" s="34">
        <f>-VLOOKUP(A136,BG311219_DEF!A:C,3,FALSE)</f>
        <v>8197.0300000000007</v>
      </c>
      <c r="D136" s="255" t="s">
        <v>439</v>
      </c>
      <c r="E136" s="256" t="s">
        <v>440</v>
      </c>
    </row>
    <row r="137" spans="1:5" s="234" customFormat="1">
      <c r="A137" s="33">
        <v>625025</v>
      </c>
      <c r="B137" s="33" t="str">
        <f>VLOOKUP(A137,BG311219_DEF!A:B,2,FALSE)</f>
        <v>Frais repas - Bureaux</v>
      </c>
      <c r="C137" s="34">
        <f>-VLOOKUP(A137,BG311219_DEF!A:C,3,FALSE)</f>
        <v>760.54</v>
      </c>
      <c r="D137" s="258" t="s">
        <v>445</v>
      </c>
      <c r="E137" s="259" t="s">
        <v>440</v>
      </c>
    </row>
    <row r="138" spans="1:5" s="33" customFormat="1">
      <c r="A138" s="33">
        <v>625026</v>
      </c>
      <c r="B138" s="33" t="str">
        <f>VLOOKUP(A138,BG311219_DEF!A:B,2,FALSE)</f>
        <v>Frais de repas - Assistance</v>
      </c>
      <c r="C138" s="34">
        <f>-VLOOKUP(A138,BG311219_DEF!A:C,3,FALSE)</f>
        <v>144.80000000000001</v>
      </c>
      <c r="D138" s="36" t="s">
        <v>441</v>
      </c>
      <c r="E138" s="245" t="s">
        <v>125</v>
      </c>
    </row>
    <row r="139" spans="1:5" s="33" customFormat="1">
      <c r="A139" s="33">
        <v>625110</v>
      </c>
      <c r="B139" s="33" t="str">
        <f>VLOOKUP(A139,BG311219_DEF!A:B,2,FALSE)</f>
        <v>Deplacements structure/ representat</v>
      </c>
      <c r="C139" s="34">
        <f>-VLOOKUP(A139,BG311219_DEF!A:C,3,FALSE)</f>
        <v>9337.57</v>
      </c>
      <c r="D139" s="249" t="s">
        <v>444</v>
      </c>
      <c r="E139" s="250" t="s">
        <v>125</v>
      </c>
    </row>
    <row r="140" spans="1:5" s="33" customFormat="1">
      <c r="A140" s="33">
        <v>625111</v>
      </c>
      <c r="B140" s="33" t="str">
        <f>VLOOKUP(A140,BG311219_DEF!A:B,2,FALSE)</f>
        <v>Deplacements - Album</v>
      </c>
      <c r="C140" s="34">
        <f>-VLOOKUP(A140,BG311219_DEF!A:C,3,FALSE)</f>
        <v>1057.92</v>
      </c>
      <c r="D140" s="253" t="s">
        <v>127</v>
      </c>
      <c r="E140" s="254" t="s">
        <v>125</v>
      </c>
    </row>
    <row r="141" spans="1:5" s="33" customFormat="1">
      <c r="A141" s="33">
        <v>625112</v>
      </c>
      <c r="B141" s="33" t="str">
        <f>VLOOKUP(A141,BG311219_DEF!A:B,2,FALSE)</f>
        <v>Deplacement - Recherche</v>
      </c>
      <c r="C141" s="34">
        <f>-VLOOKUP(A141,BG311219_DEF!A:C,3,FALSE)</f>
        <v>45648.87</v>
      </c>
      <c r="D141" s="253" t="s">
        <v>127</v>
      </c>
      <c r="E141" s="254" t="s">
        <v>125</v>
      </c>
    </row>
    <row r="142" spans="1:5" s="33" customFormat="1">
      <c r="A142" s="33">
        <v>625113</v>
      </c>
      <c r="B142" s="33" t="str">
        <f>VLOOKUP(A142,BG311219_DEF!A:B,2,FALSE)</f>
        <v>Deplacements - Mecenat</v>
      </c>
      <c r="C142" s="34">
        <f>-VLOOKUP(A142,BG311219_DEF!A:C,3,FALSE)</f>
        <v>12485.09</v>
      </c>
      <c r="D142" s="247" t="s">
        <v>443</v>
      </c>
      <c r="E142" s="248" t="s">
        <v>440</v>
      </c>
    </row>
    <row r="143" spans="1:5" s="33" customFormat="1">
      <c r="A143" s="33">
        <v>625114</v>
      </c>
      <c r="B143" s="33" t="str">
        <f>VLOOKUP(A143,BG311219_DEF!A:B,2,FALSE)</f>
        <v>D‚placements - FG Admin</v>
      </c>
      <c r="C143" s="34">
        <f>-VLOOKUP(A143,BG311219_DEF!A:C,3,FALSE)</f>
        <v>73.95</v>
      </c>
      <c r="D143" s="35" t="s">
        <v>126</v>
      </c>
      <c r="E143" s="246" t="s">
        <v>442</v>
      </c>
    </row>
    <row r="144" spans="1:5" s="33" customFormat="1">
      <c r="A144" s="33">
        <v>625115</v>
      </c>
      <c r="B144" s="33" t="str">
        <f>VLOOKUP(A144,BG311219_DEF!A:B,2,FALSE)</f>
        <v>D‚placements - Communication</v>
      </c>
      <c r="C144" s="34">
        <f>-VLOOKUP(A144,BG311219_DEF!A:C,3,FALSE)</f>
        <v>3698.71</v>
      </c>
      <c r="D144" s="253" t="s">
        <v>127</v>
      </c>
      <c r="E144" s="254" t="s">
        <v>125</v>
      </c>
    </row>
    <row r="145" spans="1:5" s="33" customFormat="1">
      <c r="A145" s="33">
        <v>625116</v>
      </c>
      <c r="B145" s="33" t="str">
        <f>VLOOKUP(A145,BG311219_DEF!A:B,2,FALSE)</f>
        <v>Deplacements - Assistance</v>
      </c>
      <c r="C145" s="34">
        <f>-VLOOKUP(A145,BG311219_DEF!A:C,3,FALSE)</f>
        <v>3995.2699999999995</v>
      </c>
      <c r="D145" s="36" t="s">
        <v>441</v>
      </c>
      <c r="E145" s="245" t="s">
        <v>125</v>
      </c>
    </row>
    <row r="146" spans="1:5" s="234" customFormat="1">
      <c r="A146" s="33">
        <v>625117</v>
      </c>
      <c r="B146" s="33" t="str">
        <f>VLOOKUP(A146,BG311219_DEF!A:B,2,FALSE)</f>
        <v>Deplacements - Bureaux</v>
      </c>
      <c r="C146" s="34">
        <f>-VLOOKUP(A146,BG311219_DEF!A:C,3,FALSE)</f>
        <v>6320.7099999999991</v>
      </c>
      <c r="D146" s="258" t="s">
        <v>445</v>
      </c>
      <c r="E146" s="259" t="s">
        <v>440</v>
      </c>
    </row>
    <row r="147" spans="1:5" s="33" customFormat="1">
      <c r="A147" s="33">
        <v>625118</v>
      </c>
      <c r="B147" s="33" t="str">
        <f>VLOOKUP(A147,BG311219_DEF!A:B,2,FALSE)</f>
        <v>Deplacements - Programmes</v>
      </c>
      <c r="C147" s="34">
        <f>-VLOOKUP(A147,BG311219_DEF!A:C,3,FALSE)</f>
        <v>8109.32</v>
      </c>
      <c r="D147" s="243" t="s">
        <v>127</v>
      </c>
      <c r="E147" s="244" t="s">
        <v>125</v>
      </c>
    </row>
    <row r="148" spans="1:5" s="33" customFormat="1">
      <c r="A148" s="33">
        <v>625119</v>
      </c>
      <c r="B148" s="33" t="str">
        <f>VLOOKUP(A148,BG311219_DEF!A:B,2,FALSE)</f>
        <v>Deplacements - CapB</v>
      </c>
      <c r="C148" s="34">
        <f>-VLOOKUP(A148,BG311219_DEF!A:C,3,FALSE)</f>
        <v>41964.2</v>
      </c>
      <c r="D148" s="36" t="s">
        <v>452</v>
      </c>
      <c r="E148" s="245" t="s">
        <v>125</v>
      </c>
    </row>
    <row r="149" spans="1:5" s="33" customFormat="1">
      <c r="A149" s="33">
        <v>625120</v>
      </c>
      <c r="B149" s="33" t="str">
        <f>VLOOKUP(A149,BG311219_DEF!A:B,2,FALSE)</f>
        <v>Deplacements - Plaidoyer</v>
      </c>
      <c r="C149" s="34">
        <f>-VLOOKUP(A149,BG311219_DEF!A:C,3,FALSE)</f>
        <v>36073.11</v>
      </c>
      <c r="D149" s="255" t="s">
        <v>439</v>
      </c>
      <c r="E149" s="256" t="s">
        <v>440</v>
      </c>
    </row>
    <row r="150" spans="1:5" s="33" customFormat="1">
      <c r="A150" s="33">
        <v>625210</v>
      </c>
      <c r="B150" s="33" t="str">
        <f>VLOOKUP(A150,BG311219_DEF!A:B,2,FALSE)</f>
        <v>Frais de s‚jour - Mecenat</v>
      </c>
      <c r="C150" s="34">
        <f>-VLOOKUP(A150,BG311219_DEF!A:C,3,FALSE)</f>
        <v>1033.97</v>
      </c>
      <c r="D150" s="247" t="s">
        <v>443</v>
      </c>
      <c r="E150" s="248" t="s">
        <v>440</v>
      </c>
    </row>
    <row r="151" spans="1:5" s="33" customFormat="1">
      <c r="A151" s="33">
        <v>625600</v>
      </c>
      <c r="B151" s="33" t="str">
        <f>VLOOKUP(A151,BG311219_DEF!A:B,2,FALSE)</f>
        <v>frais de s‚jour - FG</v>
      </c>
      <c r="C151" s="34">
        <f>-VLOOKUP(A151,BG311219_DEF!A:C,3,FALSE)</f>
        <v>810.42</v>
      </c>
      <c r="D151" s="249" t="s">
        <v>444</v>
      </c>
      <c r="E151" s="250" t="s">
        <v>125</v>
      </c>
    </row>
    <row r="152" spans="1:5" s="33" customFormat="1">
      <c r="A152" s="33">
        <v>625609</v>
      </c>
      <c r="B152" s="33" t="str">
        <f>VLOOKUP(A152,BG311219_DEF!A:B,2,FALSE)</f>
        <v>Frais de sejour - Recherche</v>
      </c>
      <c r="C152" s="34">
        <f>-VLOOKUP(A152,BG311219_DEF!A:C,3,FALSE)</f>
        <v>11328.489999999998</v>
      </c>
      <c r="D152" s="253" t="s">
        <v>127</v>
      </c>
      <c r="E152" s="254" t="s">
        <v>125</v>
      </c>
    </row>
    <row r="153" spans="1:5" s="33" customFormat="1">
      <c r="A153" s="33">
        <v>625610</v>
      </c>
      <c r="B153" s="33" t="str">
        <f>VLOOKUP(A153,BG311219_DEF!A:B,2,FALSE)</f>
        <v>Frais de sejour - Capt B</v>
      </c>
      <c r="C153" s="34">
        <f>-VLOOKUP(A153,BG311219_DEF!A:C,3,FALSE)</f>
        <v>23499.97</v>
      </c>
      <c r="D153" s="36" t="s">
        <v>441</v>
      </c>
      <c r="E153" s="245" t="s">
        <v>125</v>
      </c>
    </row>
    <row r="154" spans="1:5" s="33" customFormat="1">
      <c r="A154" s="33">
        <v>625611</v>
      </c>
      <c r="B154" s="33" t="str">
        <f>VLOOKUP(A154,BG311219_DEF!A:B,2,FALSE)</f>
        <v>Frais de sejour - Communication</v>
      </c>
      <c r="C154" s="34">
        <f>-VLOOKUP(A154,BG311219_DEF!A:C,3,FALSE)</f>
        <v>922.47</v>
      </c>
      <c r="D154" s="253" t="s">
        <v>127</v>
      </c>
      <c r="E154" s="254" t="s">
        <v>125</v>
      </c>
    </row>
    <row r="155" spans="1:5" s="33" customFormat="1">
      <c r="A155" s="33">
        <v>625612</v>
      </c>
      <c r="B155" s="33" t="str">
        <f>VLOOKUP(A155,BG311219_DEF!A:B,2,FALSE)</f>
        <v>Frais de sejour - Mecenat</v>
      </c>
      <c r="C155" s="34">
        <f>-VLOOKUP(A155,BG311219_DEF!A:C,3,FALSE)</f>
        <v>954.34</v>
      </c>
      <c r="D155" s="247" t="s">
        <v>443</v>
      </c>
      <c r="E155" s="248" t="s">
        <v>440</v>
      </c>
    </row>
    <row r="156" spans="1:5" s="33" customFormat="1">
      <c r="A156" s="33">
        <v>625614</v>
      </c>
      <c r="B156" s="33" t="str">
        <f>VLOOKUP(A156,BG311219_DEF!A:B,2,FALSE)</f>
        <v>Frais de sejour - Programme</v>
      </c>
      <c r="C156" s="34">
        <f>-VLOOKUP(A156,BG311219_DEF!A:C,3,FALSE)</f>
        <v>1002.97</v>
      </c>
      <c r="D156" s="243" t="s">
        <v>127</v>
      </c>
      <c r="E156" s="244" t="s">
        <v>125</v>
      </c>
    </row>
    <row r="157" spans="1:5" s="33" customFormat="1">
      <c r="A157" s="33">
        <v>625615</v>
      </c>
      <c r="B157" s="33" t="str">
        <f>VLOOKUP(A157,BG311219_DEF!A:B,2,FALSE)</f>
        <v>Frais de sejour - Plaidoyer</v>
      </c>
      <c r="C157" s="34">
        <f>-VLOOKUP(A157,BG311219_DEF!A:C,3,FALSE)</f>
        <v>88953.3</v>
      </c>
      <c r="D157" s="255" t="s">
        <v>439</v>
      </c>
      <c r="E157" s="256" t="s">
        <v>440</v>
      </c>
    </row>
    <row r="158" spans="1:5" s="33" customFormat="1">
      <c r="A158" s="33">
        <v>625616</v>
      </c>
      <c r="B158" s="33" t="str">
        <f>VLOOKUP(A158,BG311219_DEF!A:B,2,FALSE)</f>
        <v>Frais de s‚jour - Assistance</v>
      </c>
      <c r="C158" s="34">
        <f>-VLOOKUP(A158,BG311219_DEF!A:C,3,FALSE)</f>
        <v>7391.74</v>
      </c>
      <c r="D158" s="36" t="s">
        <v>441</v>
      </c>
      <c r="E158" s="245" t="s">
        <v>125</v>
      </c>
    </row>
    <row r="159" spans="1:5" s="33" customFormat="1">
      <c r="A159" s="33">
        <v>625700</v>
      </c>
      <c r="B159" s="33" t="str">
        <f>VLOOKUP(A159,BG311219_DEF!A:B,2,FALSE)</f>
        <v>Prix - c‚r‚monie</v>
      </c>
      <c r="C159" s="34">
        <f>-VLOOKUP(A159,BG311219_DEF!A:C,3,FALSE)</f>
        <v>5225.84</v>
      </c>
      <c r="D159" s="253" t="s">
        <v>127</v>
      </c>
      <c r="E159" s="254" t="s">
        <v>125</v>
      </c>
    </row>
    <row r="160" spans="1:5" s="33" customFormat="1">
      <c r="A160" s="33">
        <v>625701</v>
      </c>
      <c r="B160" s="33" t="str">
        <f>VLOOKUP(A160,BG311219_DEF!A:B,2,FALSE)</f>
        <v>Frais de r‚ception</v>
      </c>
      <c r="C160" s="34">
        <f>-VLOOKUP(A160,BG311219_DEF!A:C,3,FALSE)</f>
        <v>6341.48</v>
      </c>
      <c r="D160" s="249" t="s">
        <v>444</v>
      </c>
      <c r="E160" s="250" t="s">
        <v>125</v>
      </c>
    </row>
    <row r="161" spans="1:8" s="33" customFormat="1">
      <c r="A161" s="33">
        <v>626000</v>
      </c>
      <c r="B161" s="33" t="str">
        <f>VLOOKUP(A161,BG311219_DEF!A:B,2,FALSE)</f>
        <v>Frais postaux, Exp‚dition</v>
      </c>
      <c r="C161" s="34">
        <f>-VLOOKUP(A161,BG311219_DEF!A:C,3,FALSE)</f>
        <v>7225.02</v>
      </c>
      <c r="D161" s="253" t="s">
        <v>127</v>
      </c>
      <c r="E161" s="254" t="s">
        <v>125</v>
      </c>
    </row>
    <row r="162" spans="1:8" s="33" customFormat="1">
      <c r="A162" s="33">
        <v>626002</v>
      </c>
      <c r="B162" s="33" t="str">
        <f>VLOOKUP(A162,BG311219_DEF!A:B,2,FALSE)</f>
        <v>contrat post reponse</v>
      </c>
      <c r="C162" s="34">
        <f>-VLOOKUP(A162,BG311219_DEF!A:C,3,FALSE)</f>
        <v>970.15000000000009</v>
      </c>
      <c r="D162" s="247" t="s">
        <v>443</v>
      </c>
      <c r="E162" s="248" t="s">
        <v>440</v>
      </c>
    </row>
    <row r="163" spans="1:8" s="33" customFormat="1">
      <c r="A163" s="33">
        <v>626003</v>
      </c>
      <c r="B163" s="33" t="str">
        <f>VLOOKUP(A163,BG311219_DEF!A:B,2,FALSE)</f>
        <v>MA nø B760203</v>
      </c>
      <c r="C163" s="34">
        <f>-VLOOKUP(A163,BG311219_DEF!A:C,3,FALSE)</f>
        <v>14399.669999999998</v>
      </c>
      <c r="D163" s="35" t="s">
        <v>126</v>
      </c>
      <c r="E163" s="246" t="s">
        <v>442</v>
      </c>
    </row>
    <row r="164" spans="1:8" s="33" customFormat="1">
      <c r="A164" s="33">
        <v>626004</v>
      </c>
      <c r="B164" s="33" t="str">
        <f>VLOOKUP(A164,BG311219_DEF!A:B,2,FALSE)</f>
        <v>courrier adherents &amp; mecenat</v>
      </c>
      <c r="C164" s="34">
        <f>-VLOOKUP(A164,BG311219_DEF!A:C,3,FALSE)</f>
        <v>5503.48</v>
      </c>
      <c r="D164" s="247" t="s">
        <v>443</v>
      </c>
      <c r="E164" s="248" t="s">
        <v>440</v>
      </c>
    </row>
    <row r="165" spans="1:8" s="33" customFormat="1">
      <c r="A165" s="33">
        <v>626005</v>
      </c>
      <c r="B165" s="33" t="str">
        <f>VLOOKUP(A165,BG311219_DEF!A:B,2,FALSE)</f>
        <v>Colissimo - La poste</v>
      </c>
      <c r="C165" s="34">
        <f>-VLOOKUP(A165,BG311219_DEF!A:C,3,FALSE)</f>
        <v>3623.03</v>
      </c>
      <c r="D165" s="253" t="s">
        <v>127</v>
      </c>
      <c r="E165" s="254" t="s">
        <v>125</v>
      </c>
    </row>
    <row r="166" spans="1:8" s="33" customFormat="1">
      <c r="A166" s="33">
        <v>626006</v>
      </c>
      <c r="B166" s="33" t="str">
        <f>VLOOKUP(A166,BG311219_DEF!A:B,2,FALSE)</f>
        <v>Frais postaux, expedition album</v>
      </c>
      <c r="C166" s="34">
        <f>-VLOOKUP(A166,BG311219_DEF!A:C,3,FALSE)</f>
        <v>14734.81</v>
      </c>
      <c r="D166" s="253" t="s">
        <v>127</v>
      </c>
      <c r="E166" s="254" t="s">
        <v>125</v>
      </c>
    </row>
    <row r="167" spans="1:8" s="5" customFormat="1">
      <c r="A167" s="33">
        <v>626007</v>
      </c>
      <c r="B167" s="33" t="str">
        <f>VLOOKUP(A167,BG311219_DEF!A:B,2,FALSE)</f>
        <v>Frais Exp‚dition Presse ecoles</v>
      </c>
      <c r="C167" s="34">
        <f>-VLOOKUP(A167,BG311219_DEF!A:C,3,FALSE)</f>
        <v>1801.54</v>
      </c>
      <c r="D167" s="253" t="s">
        <v>127</v>
      </c>
      <c r="E167" s="254" t="s">
        <v>125</v>
      </c>
      <c r="F167" s="33"/>
      <c r="H167" s="33"/>
    </row>
    <row r="168" spans="1:8" s="5" customFormat="1">
      <c r="A168" s="33">
        <v>626008</v>
      </c>
      <c r="B168" s="33" t="str">
        <f>VLOOKUP(A168,BG311219_DEF!A:B,2,FALSE)</f>
        <v>Frais de poste Programmes</v>
      </c>
      <c r="C168" s="34">
        <f>-VLOOKUP(A168,BG311219_DEF!A:C,3,FALSE)</f>
        <v>14.61</v>
      </c>
      <c r="D168" s="243" t="s">
        <v>127</v>
      </c>
      <c r="E168" s="244" t="s">
        <v>125</v>
      </c>
      <c r="F168" s="33"/>
      <c r="H168" s="33"/>
    </row>
    <row r="169" spans="1:8" s="5" customFormat="1">
      <c r="A169" s="33">
        <v>626101</v>
      </c>
      <c r="B169" s="33" t="str">
        <f>VLOOKUP(A169,BG311219_DEF!A:B,2,FALSE)</f>
        <v>T‚l‚phones portables</v>
      </c>
      <c r="C169" s="34">
        <f>-VLOOKUP(A169,BG311219_DEF!A:C,3,FALSE)</f>
        <v>4440.38</v>
      </c>
      <c r="D169" s="253" t="s">
        <v>127</v>
      </c>
      <c r="E169" s="254" t="s">
        <v>125</v>
      </c>
      <c r="F169" s="33"/>
      <c r="H169" s="33"/>
    </row>
    <row r="170" spans="1:8" s="5" customFormat="1">
      <c r="A170" s="33">
        <v>626112</v>
      </c>
      <c r="B170" s="33" t="str">
        <f>VLOOKUP(A170,BG311219_DEF!A:B,2,FALSE)</f>
        <v>T‚l‚phone - Recherche</v>
      </c>
      <c r="C170" s="34">
        <f>-VLOOKUP(A170,BG311219_DEF!A:C,3,FALSE)</f>
        <v>129.52000000000001</v>
      </c>
      <c r="D170" s="253" t="s">
        <v>127</v>
      </c>
      <c r="E170" s="254" t="s">
        <v>125</v>
      </c>
      <c r="F170" s="33"/>
      <c r="H170" s="33"/>
    </row>
    <row r="171" spans="1:8" s="5" customFormat="1">
      <c r="A171" s="33">
        <v>626114</v>
      </c>
      <c r="B171" s="33" t="str">
        <f>VLOOKUP(A171,BG311219_DEF!A:B,2,FALSE)</f>
        <v>T‚l‚phone - Programmes</v>
      </c>
      <c r="C171" s="34">
        <f>-VLOOKUP(A171,BG311219_DEF!A:C,3,FALSE)</f>
        <v>623.87</v>
      </c>
      <c r="D171" s="243" t="s">
        <v>127</v>
      </c>
      <c r="E171" s="244" t="s">
        <v>125</v>
      </c>
      <c r="F171" s="33"/>
      <c r="H171" s="33"/>
    </row>
    <row r="172" spans="1:8" s="5" customFormat="1">
      <c r="A172" s="33">
        <v>626200</v>
      </c>
      <c r="B172" s="33" t="str">
        <f>VLOOKUP(A172,BG311219_DEF!A:B,2,FALSE)</f>
        <v>Lignes Fax/Alarme/Web conf</v>
      </c>
      <c r="C172" s="34">
        <f>-VLOOKUP(A172,BG311219_DEF!A:C,3,FALSE)</f>
        <v>579.76</v>
      </c>
      <c r="D172" s="35" t="s">
        <v>126</v>
      </c>
      <c r="E172" s="246" t="s">
        <v>442</v>
      </c>
      <c r="F172" s="33"/>
      <c r="H172" s="33"/>
    </row>
    <row r="173" spans="1:8" s="5" customFormat="1">
      <c r="A173" s="33">
        <v>626400</v>
      </c>
      <c r="B173" s="33" t="str">
        <f>VLOOKUP(A173,BG311219_DEF!A:B,2,FALSE)</f>
        <v xml:space="preserve">Lignes internet/ IP </v>
      </c>
      <c r="C173" s="34">
        <f>-VLOOKUP(A173,BG311219_DEF!A:C,3,FALSE)</f>
        <v>16096.240000000002</v>
      </c>
      <c r="D173" s="35" t="s">
        <v>126</v>
      </c>
      <c r="E173" s="246" t="s">
        <v>442</v>
      </c>
      <c r="F173" s="33"/>
      <c r="H173" s="33"/>
    </row>
    <row r="174" spans="1:8" s="5" customFormat="1">
      <c r="A174" s="33">
        <v>626401</v>
      </c>
      <c r="B174" s="33" t="str">
        <f>VLOOKUP(A174,BG311219_DEF!A:B,2,FALSE)</f>
        <v>Ligne internet-tel Erena</v>
      </c>
      <c r="C174" s="34">
        <f>-VLOOKUP(A174,BG311219_DEF!A:C,3,FALSE)</f>
        <v>73987.73000000001</v>
      </c>
      <c r="D174" s="36" t="s">
        <v>441</v>
      </c>
      <c r="E174" s="245" t="s">
        <v>125</v>
      </c>
      <c r="F174" s="33"/>
      <c r="H174" s="33"/>
    </row>
    <row r="175" spans="1:8" s="5" customFormat="1">
      <c r="A175" s="33">
        <v>627000</v>
      </c>
      <c r="B175" s="33" t="str">
        <f>VLOOKUP(A175,BG311219_DEF!A:B,2,FALSE)</f>
        <v>Services bancaires</v>
      </c>
      <c r="C175" s="34">
        <f>-VLOOKUP(A175,BG311219_DEF!A:C,3,FALSE)</f>
        <v>8050.41</v>
      </c>
      <c r="D175" s="249" t="s">
        <v>444</v>
      </c>
      <c r="E175" s="250" t="s">
        <v>125</v>
      </c>
      <c r="F175" s="33"/>
      <c r="H175" s="33"/>
    </row>
    <row r="176" spans="1:8" s="5" customFormat="1">
      <c r="A176" s="33">
        <v>627100</v>
      </c>
      <c r="B176" s="33" t="str">
        <f>VLOOKUP(A176,BG311219_DEF!A:B,2,FALSE)</f>
        <v>Frais virements</v>
      </c>
      <c r="C176" s="34">
        <f>-VLOOKUP(A176,BG311219_DEF!A:C,3,FALSE)</f>
        <v>1261.6600000000001</v>
      </c>
      <c r="D176" s="249" t="s">
        <v>444</v>
      </c>
      <c r="E176" s="250" t="s">
        <v>125</v>
      </c>
      <c r="F176" s="33"/>
      <c r="H176" s="33"/>
    </row>
    <row r="177" spans="1:8" s="5" customFormat="1">
      <c r="A177" s="33">
        <v>627300</v>
      </c>
      <c r="B177" s="33" t="str">
        <f>VLOOKUP(A177,BG311219_DEF!A:B,2,FALSE)</f>
        <v>Frais carte bancaire</v>
      </c>
      <c r="C177" s="34">
        <f>-VLOOKUP(A177,BG311219_DEF!A:C,3,FALSE)</f>
        <v>2808.85</v>
      </c>
      <c r="D177" s="249" t="s">
        <v>444</v>
      </c>
      <c r="E177" s="250" t="s">
        <v>125</v>
      </c>
      <c r="F177" s="33"/>
      <c r="H177" s="33"/>
    </row>
    <row r="178" spans="1:8" s="5" customFormat="1">
      <c r="A178" s="33">
        <v>627400</v>
      </c>
      <c r="B178" s="33" t="str">
        <f>VLOOKUP(A178,BG311219_DEF!A:B,2,FALSE)</f>
        <v>Frais western union</v>
      </c>
      <c r="C178" s="34">
        <f>-VLOOKUP(A178,BG311219_DEF!A:C,3,FALSE)</f>
        <v>7043.9</v>
      </c>
      <c r="D178" s="36" t="s">
        <v>441</v>
      </c>
      <c r="E178" s="245" t="s">
        <v>125</v>
      </c>
      <c r="F178" s="33"/>
      <c r="H178" s="33"/>
    </row>
    <row r="179" spans="1:8" s="5" customFormat="1">
      <c r="A179" s="33">
        <v>627500</v>
      </c>
      <c r="B179" s="33" t="str">
        <f>VLOOKUP(A179,BG311219_DEF!A:B,2,FALSE)</f>
        <v>frais paypal</v>
      </c>
      <c r="C179" s="34">
        <f>-VLOOKUP(A179,BG311219_DEF!A:C,3,FALSE)</f>
        <v>1360</v>
      </c>
      <c r="D179" s="253" t="s">
        <v>127</v>
      </c>
      <c r="E179" s="254" t="s">
        <v>125</v>
      </c>
      <c r="F179" s="33"/>
      <c r="H179" s="33"/>
    </row>
    <row r="180" spans="1:8" s="5" customFormat="1">
      <c r="A180" s="33">
        <v>628000</v>
      </c>
      <c r="B180" s="33" t="str">
        <f>VLOOKUP(A180,BG311219_DEF!A:B,2,FALSE)</f>
        <v>Cotisations et dons</v>
      </c>
      <c r="C180" s="34">
        <f>-VLOOKUP(A180,BG311219_DEF!A:C,3,FALSE)</f>
        <v>2881.89</v>
      </c>
      <c r="D180" s="253" t="s">
        <v>127</v>
      </c>
      <c r="E180" s="254" t="s">
        <v>125</v>
      </c>
      <c r="F180" s="33"/>
      <c r="H180" s="33"/>
    </row>
    <row r="181" spans="1:8">
      <c r="A181" s="33">
        <v>628001</v>
      </c>
      <c r="B181" s="33" t="str">
        <f>VLOOKUP(A181,BG311219_DEF!A:B,2,FALSE)</f>
        <v>Cotisation RSF international</v>
      </c>
      <c r="C181" s="34">
        <f>-VLOOKUP(A181,BG311219_DEF!A:C,3,FALSE)</f>
        <v>59000</v>
      </c>
      <c r="D181" s="258" t="s">
        <v>445</v>
      </c>
      <c r="E181" s="259" t="s">
        <v>440</v>
      </c>
      <c r="F181" s="234"/>
      <c r="H181" s="234"/>
    </row>
    <row r="182" spans="1:8" s="5" customFormat="1">
      <c r="A182" s="33">
        <v>628100</v>
      </c>
      <c r="B182" s="33" t="str">
        <f>VLOOKUP(A182,BG311219_DEF!A:B,2,FALSE)</f>
        <v>Cotisations diverses</v>
      </c>
      <c r="C182" s="34">
        <f>-VLOOKUP(A182,BG311219_DEF!A:C,3,FALSE)</f>
        <v>892.8599999999999</v>
      </c>
      <c r="D182" s="35" t="s">
        <v>126</v>
      </c>
      <c r="E182" s="246" t="s">
        <v>442</v>
      </c>
      <c r="F182" s="33"/>
      <c r="H182" s="33"/>
    </row>
    <row r="183" spans="1:8" s="5" customFormat="1">
      <c r="A183" s="33">
        <v>628800</v>
      </c>
      <c r="B183" s="33" t="str">
        <f>VLOOKUP(A183,BG311219_DEF!A:B,2,FALSE)</f>
        <v>EnlŠvement de d‚chets</v>
      </c>
      <c r="C183" s="34">
        <f>-VLOOKUP(A183,BG311219_DEF!A:C,3,FALSE)</f>
        <v>736.02</v>
      </c>
      <c r="D183" s="249" t="s">
        <v>444</v>
      </c>
      <c r="E183" s="250" t="s">
        <v>125</v>
      </c>
      <c r="F183" s="33"/>
      <c r="H183" s="33"/>
    </row>
    <row r="184" spans="1:8" s="5" customFormat="1">
      <c r="A184" s="33">
        <v>631000</v>
      </c>
      <c r="B184" s="33" t="str">
        <f>VLOOKUP(A184,BG311219_DEF!A:B,2,FALSE)</f>
        <v>Taxe sur les salaires</v>
      </c>
      <c r="C184" s="34">
        <f>-VLOOKUP(A184,BG311219_DEF!A:C,3,FALSE)</f>
        <v>139927</v>
      </c>
      <c r="D184" s="35" t="s">
        <v>126</v>
      </c>
      <c r="E184" s="246" t="s">
        <v>442</v>
      </c>
      <c r="F184" s="33"/>
      <c r="H184" s="33"/>
    </row>
    <row r="185" spans="1:8" s="5" customFormat="1">
      <c r="A185" s="33">
        <v>633000</v>
      </c>
      <c r="B185" s="33" t="str">
        <f>VLOOKUP(A185,BG311219_DEF!A:B,2,FALSE)</f>
        <v>Formation professionnelle</v>
      </c>
      <c r="C185" s="34">
        <f>-VLOOKUP(A185,BG311219_DEF!A:C,3,FALSE)</f>
        <v>27805.039999999994</v>
      </c>
      <c r="D185" s="35" t="s">
        <v>126</v>
      </c>
      <c r="E185" s="246" t="s">
        <v>442</v>
      </c>
      <c r="F185" s="33"/>
      <c r="H185" s="33"/>
    </row>
    <row r="186" spans="1:8" s="5" customFormat="1">
      <c r="A186" s="33">
        <v>633003</v>
      </c>
      <c r="B186" s="33" t="str">
        <f>VLOOKUP(A186,BG311219_DEF!A:B,2,FALSE)</f>
        <v>Taxe d'apprentissage</v>
      </c>
      <c r="C186" s="34">
        <f>-VLOOKUP(A186,BG311219_DEF!A:C,3,FALSE)</f>
        <v>0</v>
      </c>
      <c r="D186" s="35" t="s">
        <v>126</v>
      </c>
      <c r="E186" s="246" t="s">
        <v>442</v>
      </c>
      <c r="F186" s="33"/>
      <c r="H186" s="33"/>
    </row>
    <row r="187" spans="1:8" s="5" customFormat="1">
      <c r="A187" s="33">
        <v>635110</v>
      </c>
      <c r="B187" s="33" t="str">
        <f>VLOOKUP(A187,BG311219_DEF!A:B,2,FALSE)</f>
        <v>Cotisation fonciŠre des entreprises</v>
      </c>
      <c r="C187" s="34">
        <f>-VLOOKUP(A187,BG311219_DEF!A:C,3,FALSE)</f>
        <v>5957</v>
      </c>
      <c r="D187" s="253" t="s">
        <v>127</v>
      </c>
      <c r="E187" s="254" t="s">
        <v>125</v>
      </c>
      <c r="F187" s="33"/>
      <c r="H187" s="33"/>
    </row>
    <row r="188" spans="1:8" s="5" customFormat="1">
      <c r="A188" s="33">
        <v>635111</v>
      </c>
      <c r="B188" s="33" t="str">
        <f>VLOOKUP(A188,BG311219_DEF!A:B,2,FALSE)</f>
        <v>CVAE</v>
      </c>
      <c r="C188" s="34">
        <f>-VLOOKUP(A188,BG311219_DEF!A:C,3,FALSE)</f>
        <v>257</v>
      </c>
      <c r="D188" s="35" t="s">
        <v>126</v>
      </c>
      <c r="E188" s="246" t="s">
        <v>442</v>
      </c>
      <c r="F188" s="33"/>
      <c r="H188" s="33"/>
    </row>
    <row r="189" spans="1:8" s="5" customFormat="1">
      <c r="A189" s="33">
        <v>635801</v>
      </c>
      <c r="B189" s="33" t="str">
        <f>VLOOKUP(A189,BG311219_DEF!A:B,2,FALSE)</f>
        <v>Taxe fonciŠre</v>
      </c>
      <c r="C189" s="34">
        <f>-VLOOKUP(A189,BG311219_DEF!A:C,3,FALSE)</f>
        <v>6807</v>
      </c>
      <c r="D189" s="35" t="s">
        <v>126</v>
      </c>
      <c r="E189" s="246" t="s">
        <v>442</v>
      </c>
      <c r="F189" s="33"/>
      <c r="H189" s="33"/>
    </row>
    <row r="190" spans="1:8" s="5" customFormat="1">
      <c r="A190" s="33">
        <v>635802</v>
      </c>
      <c r="B190" s="33" t="str">
        <f>VLOOKUP(A190,BG311219_DEF!A:B,2,FALSE)</f>
        <v>Taxe bureau (erena)</v>
      </c>
      <c r="C190" s="34">
        <f>-VLOOKUP(A190,BG311219_DEF!A:C,3,FALSE)</f>
        <v>946</v>
      </c>
      <c r="D190" s="36" t="s">
        <v>441</v>
      </c>
      <c r="E190" s="245" t="s">
        <v>125</v>
      </c>
      <c r="F190" s="33"/>
      <c r="H190" s="33"/>
    </row>
    <row r="191" spans="1:8" s="5" customFormat="1">
      <c r="A191" s="33">
        <v>635803</v>
      </c>
      <c r="B191" s="33" t="str">
        <f>VLOOKUP(A191,BG311219_DEF!A:B,2,FALSE)</f>
        <v>Taxe AGEFIPH</v>
      </c>
      <c r="C191" s="34">
        <f>-VLOOKUP(A191,BG311219_DEF!A:C,3,FALSE)</f>
        <v>5095.24</v>
      </c>
      <c r="D191" s="35" t="s">
        <v>126</v>
      </c>
      <c r="E191" s="246" t="s">
        <v>442</v>
      </c>
      <c r="F191" s="33"/>
      <c r="H191" s="33"/>
    </row>
    <row r="192" spans="1:8">
      <c r="A192" s="33">
        <v>641000</v>
      </c>
      <c r="B192" s="33" t="str">
        <f>VLOOKUP(A192,BG311219_DEF!A:B,2,FALSE)</f>
        <v>Salaires bruts Belgique</v>
      </c>
      <c r="C192" s="34">
        <f>-VLOOKUP(A192,BG311219_DEF!A:C,3,FALSE)</f>
        <v>26370.66</v>
      </c>
      <c r="D192" s="258" t="s">
        <v>445</v>
      </c>
      <c r="E192" s="259" t="s">
        <v>440</v>
      </c>
      <c r="F192" s="234"/>
      <c r="H192" s="234"/>
    </row>
    <row r="193" spans="1:8" s="5" customFormat="1">
      <c r="A193" s="33">
        <v>641100</v>
      </c>
      <c r="B193" s="33" t="str">
        <f>VLOOKUP(A193,BG311219_DEF!A:B,2,FALSE)</f>
        <v>Sal. - Direction g‚n‚rale</v>
      </c>
      <c r="C193" s="34">
        <f>-VLOOKUP(A193,BG311219_DEF!A:C,3,FALSE)</f>
        <v>101561.71</v>
      </c>
      <c r="D193" s="267" t="s">
        <v>451</v>
      </c>
      <c r="E193" s="267"/>
      <c r="F193" s="33"/>
      <c r="H193" s="33"/>
    </row>
    <row r="194" spans="1:8" s="5" customFormat="1">
      <c r="A194" s="33">
        <v>641101</v>
      </c>
      <c r="B194" s="33" t="str">
        <f>VLOOKUP(A194,BG311219_DEF!A:B,2,FALSE)</f>
        <v>Gratifications Service Civique</v>
      </c>
      <c r="C194" s="34">
        <f>-VLOOKUP(A194,BG311219_DEF!A:C,3,FALSE)</f>
        <v>91.920000000000073</v>
      </c>
      <c r="D194" s="249" t="s">
        <v>444</v>
      </c>
      <c r="E194" s="250" t="s">
        <v>125</v>
      </c>
      <c r="F194" s="33"/>
      <c r="H194" s="33"/>
    </row>
    <row r="195" spans="1:8" s="5" customFormat="1">
      <c r="A195" s="33">
        <v>641110</v>
      </c>
      <c r="B195" s="33" t="str">
        <f>VLOOKUP(A195,BG311219_DEF!A:B,2,FALSE)</f>
        <v>Sal. - Dir. Programmes</v>
      </c>
      <c r="C195" s="34">
        <f>-VLOOKUP(A195,BG311219_DEF!A:C,3,FALSE)</f>
        <v>97368.03</v>
      </c>
      <c r="D195" s="267" t="s">
        <v>451</v>
      </c>
      <c r="E195" s="266"/>
      <c r="F195" s="33"/>
      <c r="H195" s="33"/>
    </row>
    <row r="196" spans="1:8" s="5" customFormat="1">
      <c r="A196" s="33">
        <v>641120</v>
      </c>
      <c r="B196" s="33" t="str">
        <f>VLOOKUP(A196,BG311219_DEF!A:B,2,FALSE)</f>
        <v>Sal. - Rech. &amp; Public.</v>
      </c>
      <c r="C196" s="34">
        <f>-VLOOKUP(A196,BG311219_DEF!A:C,3,FALSE)</f>
        <v>412205.98</v>
      </c>
      <c r="D196" s="267" t="s">
        <v>451</v>
      </c>
      <c r="E196" s="266"/>
      <c r="F196" s="33"/>
      <c r="H196" s="33"/>
    </row>
    <row r="197" spans="1:8" s="5" customFormat="1">
      <c r="A197" s="33">
        <v>641122</v>
      </c>
      <c r="B197" s="33" t="str">
        <f>VLOOKUP(A197,BG311219_DEF!A:B,2,FALSE)</f>
        <v>Grat. Stg - Rech. &amp; Public.</v>
      </c>
      <c r="C197" s="34">
        <f>-VLOOKUP(A197,BG311219_DEF!A:C,3,FALSE)</f>
        <v>26946.65</v>
      </c>
      <c r="D197" s="267" t="s">
        <v>451</v>
      </c>
      <c r="E197" s="266"/>
      <c r="F197" s="33"/>
      <c r="H197" s="33"/>
    </row>
    <row r="198" spans="1:8" s="5" customFormat="1">
      <c r="A198" s="33">
        <v>641130</v>
      </c>
      <c r="B198" s="33" t="str">
        <f>VLOOKUP(A198,BG311219_DEF!A:B,2,FALSE)</f>
        <v>Sal. - Plaidoyer &amp; Instit.</v>
      </c>
      <c r="C198" s="34">
        <f>-VLOOKUP(A198,BG311219_DEF!A:C,3,FALSE)</f>
        <v>159625.60000000001</v>
      </c>
      <c r="D198" s="267" t="s">
        <v>451</v>
      </c>
      <c r="E198" s="268"/>
      <c r="F198" s="33"/>
      <c r="H198" s="33"/>
    </row>
    <row r="199" spans="1:8" s="5" customFormat="1">
      <c r="A199" s="33">
        <v>641132</v>
      </c>
      <c r="B199" s="33" t="str">
        <f>VLOOKUP(A199,BG311219_DEF!A:B,2,FALSE)</f>
        <v>Grat. Stg - Plaidoyer &amp; Instit.</v>
      </c>
      <c r="C199" s="34">
        <f>-VLOOKUP(A199,BG311219_DEF!A:C,3,FALSE)</f>
        <v>2445.2199999999998</v>
      </c>
      <c r="D199" s="267" t="s">
        <v>451</v>
      </c>
      <c r="E199" s="268"/>
      <c r="F199" s="33"/>
      <c r="H199" s="33"/>
    </row>
    <row r="200" spans="1:8" s="5" customFormat="1">
      <c r="A200" s="33">
        <v>641140</v>
      </c>
      <c r="B200" s="33" t="str">
        <f>VLOOKUP(A200,BG311219_DEF!A:B,2,FALSE)</f>
        <v>Sal. - Sout. act. loc. &amp; coord. Pjt</v>
      </c>
      <c r="C200" s="34">
        <f>-VLOOKUP(A200,BG311219_DEF!A:C,3,FALSE)</f>
        <v>353416.19</v>
      </c>
      <c r="D200" s="267" t="s">
        <v>451</v>
      </c>
      <c r="E200" s="266"/>
      <c r="F200" s="33"/>
      <c r="H200" s="33"/>
    </row>
    <row r="201" spans="1:8" s="5" customFormat="1">
      <c r="A201" s="33">
        <v>641150</v>
      </c>
      <c r="B201" s="33" t="str">
        <f>VLOOKUP(A201,BG311219_DEF!A:B,2,FALSE)</f>
        <v>Sal. - Dvlt et affaires publiques</v>
      </c>
      <c r="C201" s="34">
        <f>-VLOOKUP(A201,BG311219_DEF!A:C,3,FALSE)</f>
        <v>91481.31</v>
      </c>
      <c r="D201" s="267" t="s">
        <v>451</v>
      </c>
      <c r="E201" s="228"/>
      <c r="F201" s="33"/>
      <c r="H201" s="33"/>
    </row>
    <row r="202" spans="1:8" s="5" customFormat="1">
      <c r="A202" s="33">
        <v>641160</v>
      </c>
      <c r="B202" s="33" t="str">
        <f>VLOOKUP(A202,BG311219_DEF!A:B,2,FALSE)</f>
        <v>Sal. - Com. &amp; Marketing</v>
      </c>
      <c r="C202" s="34">
        <f>-VLOOKUP(A202,BG311219_DEF!A:C,3,FALSE)</f>
        <v>256545.61</v>
      </c>
      <c r="D202" s="267" t="s">
        <v>451</v>
      </c>
      <c r="E202" s="265"/>
      <c r="F202" s="33"/>
      <c r="H202" s="33"/>
    </row>
    <row r="203" spans="1:8" s="5" customFormat="1">
      <c r="A203" s="33">
        <v>641161</v>
      </c>
      <c r="B203" s="33" t="str">
        <f>VLOOKUP(A203,BG311219_DEF!A:B,2,FALSE)</f>
        <v>Sal. Piges - Albums</v>
      </c>
      <c r="C203" s="34">
        <f>-VLOOKUP(A203,BG311219_DEF!A:C,3,FALSE)</f>
        <v>6730.97</v>
      </c>
      <c r="D203" s="257" t="s">
        <v>439</v>
      </c>
      <c r="E203" s="256" t="s">
        <v>125</v>
      </c>
      <c r="F203" s="33"/>
      <c r="H203" s="33"/>
    </row>
    <row r="204" spans="1:8" s="5" customFormat="1">
      <c r="A204" s="33">
        <v>641162</v>
      </c>
      <c r="B204" s="33" t="str">
        <f>VLOOKUP(A204,BG311219_DEF!A:B,2,FALSE)</f>
        <v>Grat. Stg - Com. &amp; Marketing</v>
      </c>
      <c r="C204" s="34">
        <f>-VLOOKUP(A204,BG311219_DEF!A:C,3,FALSE)</f>
        <v>969</v>
      </c>
      <c r="D204" s="267" t="s">
        <v>451</v>
      </c>
      <c r="E204" s="265"/>
      <c r="F204" s="33"/>
      <c r="H204" s="33"/>
    </row>
    <row r="205" spans="1:8" s="5" customFormat="1">
      <c r="A205" s="33">
        <v>641170</v>
      </c>
      <c r="B205" s="33" t="str">
        <f>VLOOKUP(A205,BG311219_DEF!A:B,2,FALSE)</f>
        <v>Sal. - Admin., finance &amp; RH</v>
      </c>
      <c r="C205" s="34">
        <f>-VLOOKUP(A205,BG311219_DEF!A:C,3,FALSE)</f>
        <v>213222.64</v>
      </c>
      <c r="D205" s="267" t="s">
        <v>451</v>
      </c>
      <c r="E205" s="266"/>
      <c r="F205" s="33"/>
      <c r="H205" s="33"/>
    </row>
    <row r="206" spans="1:8" s="5" customFormat="1">
      <c r="A206" s="33">
        <v>641200</v>
      </c>
      <c r="B206" s="33" t="str">
        <f>VLOOKUP(A206,BG311219_DEF!A:B,2,FALSE)</f>
        <v>Dot prov CP</v>
      </c>
      <c r="C206" s="34">
        <f>-VLOOKUP(A206,BG311219_DEF!A:C,3,FALSE)</f>
        <v>-4248.2700000000041</v>
      </c>
      <c r="D206" s="35" t="s">
        <v>126</v>
      </c>
      <c r="E206" s="246" t="s">
        <v>442</v>
      </c>
      <c r="F206" s="33"/>
      <c r="H206" s="33"/>
    </row>
    <row r="207" spans="1:8" s="5" customFormat="1">
      <c r="A207" s="33">
        <v>641400</v>
      </c>
      <c r="B207" s="33" t="str">
        <f>VLOOKUP(A207,BG311219_DEF!A:B,2,FALSE)</f>
        <v>Dot. prov prime precarite</v>
      </c>
      <c r="C207" s="34">
        <f>-VLOOKUP(A207,BG311219_DEF!A:C,3,FALSE)</f>
        <v>5861.0100000000011</v>
      </c>
      <c r="D207" s="35" t="s">
        <v>126</v>
      </c>
      <c r="E207" s="246" t="s">
        <v>442</v>
      </c>
      <c r="F207" s="33"/>
      <c r="H207" s="33"/>
    </row>
    <row r="208" spans="1:8" s="5" customFormat="1">
      <c r="A208" s="33">
        <v>641410</v>
      </c>
      <c r="B208" s="33" t="str">
        <f>VLOOKUP(A208,BG311219_DEF!A:B,2,FALSE)</f>
        <v>Divers Indemn. soumises CS</v>
      </c>
      <c r="C208" s="34">
        <f>-VLOOKUP(A208,BG311219_DEF!A:C,3,FALSE)</f>
        <v>17241.47</v>
      </c>
      <c r="D208" s="267" t="s">
        <v>451</v>
      </c>
      <c r="E208" s="266"/>
      <c r="F208" s="33"/>
      <c r="H208" s="33"/>
    </row>
    <row r="209" spans="1:8" s="5" customFormat="1">
      <c r="A209" s="33">
        <v>641420</v>
      </c>
      <c r="B209" s="33" t="str">
        <f>VLOOKUP(A209,BG311219_DEF!A:B,2,FALSE)</f>
        <v>Divers Indemn. non soumises CS</v>
      </c>
      <c r="C209" s="34">
        <f>-VLOOKUP(A209,BG311219_DEF!A:C,3,FALSE)</f>
        <v>75574.37</v>
      </c>
      <c r="D209" s="267" t="s">
        <v>451</v>
      </c>
      <c r="E209" s="266"/>
      <c r="F209" s="33"/>
      <c r="H209" s="33"/>
    </row>
    <row r="210" spans="1:8" s="5" customFormat="1">
      <c r="A210" s="33">
        <v>641500</v>
      </c>
      <c r="B210" s="33" t="str">
        <f>VLOOKUP(A210,BG311219_DEF!A:B,2,FALSE)</f>
        <v>Indemn. transport - Stg + Sal.</v>
      </c>
      <c r="C210" s="34">
        <f>-VLOOKUP(A210,BG311219_DEF!A:C,3,FALSE)</f>
        <v>16735.66</v>
      </c>
      <c r="D210" s="35" t="s">
        <v>126</v>
      </c>
      <c r="E210" s="246" t="s">
        <v>442</v>
      </c>
      <c r="F210" s="33"/>
      <c r="H210" s="33"/>
    </row>
    <row r="211" spans="1:8">
      <c r="A211" s="33">
        <v>645000</v>
      </c>
      <c r="B211" s="33" t="str">
        <f>VLOOKUP(A211,BG311219_DEF!A:B,2,FALSE)</f>
        <v>CS Belgique</v>
      </c>
      <c r="C211" s="34">
        <f>-VLOOKUP(A211,BG311219_DEF!A:C,3,FALSE)</f>
        <v>4913.68</v>
      </c>
      <c r="D211" s="258" t="s">
        <v>453</v>
      </c>
      <c r="E211" s="259" t="s">
        <v>125</v>
      </c>
      <c r="F211" s="234"/>
      <c r="H211" s="234"/>
    </row>
    <row r="212" spans="1:8" s="5" customFormat="1">
      <c r="A212" s="33">
        <v>645100</v>
      </c>
      <c r="B212" s="33" t="str">
        <f>VLOOKUP(A212,BG311219_DEF!A:B,2,FALSE)</f>
        <v>CS - Direction g‚n‚rale / URSSAF</v>
      </c>
      <c r="C212" s="34">
        <f>-VLOOKUP(A212,BG311219_DEF!A:C,3,FALSE)</f>
        <v>41637.769999999997</v>
      </c>
      <c r="D212" s="267" t="s">
        <v>451</v>
      </c>
      <c r="E212" s="267"/>
      <c r="F212" s="33"/>
      <c r="H212" s="33"/>
    </row>
    <row r="213" spans="1:8" s="5" customFormat="1">
      <c r="A213" s="33">
        <v>645110</v>
      </c>
      <c r="B213" s="33" t="str">
        <f>VLOOKUP(A213,BG311219_DEF!A:B,2,FALSE)</f>
        <v>CS - Dir. Programmes</v>
      </c>
      <c r="C213" s="34">
        <f>-VLOOKUP(A213,BG311219_DEF!A:C,3,FALSE)</f>
        <v>39184.26</v>
      </c>
      <c r="D213" s="267" t="s">
        <v>451</v>
      </c>
      <c r="E213" s="266"/>
      <c r="F213" s="33"/>
      <c r="H213" s="33"/>
    </row>
    <row r="214" spans="1:8" s="5" customFormat="1">
      <c r="A214" s="33">
        <v>645120</v>
      </c>
      <c r="B214" s="33" t="str">
        <f>VLOOKUP(A214,BG311219_DEF!A:B,2,FALSE)</f>
        <v>CS - Recherche &amp; publications</v>
      </c>
      <c r="C214" s="34">
        <f>-VLOOKUP(A214,BG311219_DEF!A:C,3,FALSE)</f>
        <v>144266.12</v>
      </c>
      <c r="D214" s="267" t="s">
        <v>451</v>
      </c>
      <c r="E214" s="266"/>
      <c r="F214" s="33"/>
      <c r="H214" s="33"/>
    </row>
    <row r="215" spans="1:8" s="5" customFormat="1">
      <c r="A215" s="33">
        <v>645122</v>
      </c>
      <c r="B215" s="33" t="str">
        <f>VLOOKUP(A215,BG311219_DEF!A:B,2,FALSE)</f>
        <v>CS - Stg Rech. &amp; publications</v>
      </c>
      <c r="C215" s="34">
        <f>-VLOOKUP(A215,BG311219_DEF!A:C,3,FALSE)</f>
        <v>34.03</v>
      </c>
      <c r="D215" s="267" t="s">
        <v>451</v>
      </c>
      <c r="E215" s="266"/>
      <c r="F215" s="33"/>
      <c r="H215" s="33"/>
    </row>
    <row r="216" spans="1:8" s="5" customFormat="1">
      <c r="A216" s="33">
        <v>645130</v>
      </c>
      <c r="B216" s="33" t="str">
        <f>VLOOKUP(A216,BG311219_DEF!A:B,2,FALSE)</f>
        <v>CS - Plaidoyer instit.</v>
      </c>
      <c r="C216" s="34">
        <f>-VLOOKUP(A216,BG311219_DEF!A:C,3,FALSE)</f>
        <v>65179.77</v>
      </c>
      <c r="D216" s="267" t="s">
        <v>451</v>
      </c>
      <c r="E216" s="268"/>
      <c r="F216" s="33"/>
      <c r="H216" s="33"/>
    </row>
    <row r="217" spans="1:8" s="5" customFormat="1">
      <c r="A217" s="33">
        <v>645132</v>
      </c>
      <c r="B217" s="33" t="str">
        <f>VLOOKUP(A217,BG311219_DEF!A:B,2,FALSE)</f>
        <v>CS - Stg Plaidoyer instit.</v>
      </c>
      <c r="C217" s="34">
        <f>-VLOOKUP(A217,BG311219_DEF!A:C,3,FALSE)</f>
        <v>1.19</v>
      </c>
      <c r="D217" s="267" t="s">
        <v>451</v>
      </c>
      <c r="E217" s="268"/>
      <c r="F217" s="33"/>
      <c r="H217" s="33"/>
    </row>
    <row r="218" spans="1:8" s="5" customFormat="1">
      <c r="A218" s="33">
        <v>645140</v>
      </c>
      <c r="B218" s="33" t="str">
        <f>VLOOKUP(A218,BG311219_DEF!A:B,2,FALSE)</f>
        <v>CS - Sout. act. Loc. &amp; coord. Proj.</v>
      </c>
      <c r="C218" s="34">
        <f>-VLOOKUP(A218,BG311219_DEF!A:C,3,FALSE)</f>
        <v>133158.14000000001</v>
      </c>
      <c r="D218" s="267" t="s">
        <v>451</v>
      </c>
      <c r="E218" s="266"/>
      <c r="F218" s="33"/>
      <c r="H218" s="33"/>
    </row>
    <row r="219" spans="1:8" s="5" customFormat="1">
      <c r="A219" s="33">
        <v>645150</v>
      </c>
      <c r="B219" s="33" t="str">
        <f>VLOOKUP(A219,BG311219_DEF!A:B,2,FALSE)</f>
        <v>CS - Devlt &amp; aff. publiques</v>
      </c>
      <c r="C219" s="34">
        <f>-VLOOKUP(A219,BG311219_DEF!A:C,3,FALSE)</f>
        <v>37740.5</v>
      </c>
      <c r="D219" s="267" t="s">
        <v>451</v>
      </c>
      <c r="E219" s="228"/>
      <c r="F219" s="33"/>
      <c r="H219" s="33"/>
    </row>
    <row r="220" spans="1:8" s="5" customFormat="1">
      <c r="A220" s="33">
        <v>645160</v>
      </c>
      <c r="B220" s="33" t="str">
        <f>VLOOKUP(A220,BG311219_DEF!A:B,2,FALSE)</f>
        <v>CS - Com &amp; marketing</v>
      </c>
      <c r="C220" s="34">
        <f>-VLOOKUP(A220,BG311219_DEF!A:C,3,FALSE)</f>
        <v>112857.52</v>
      </c>
      <c r="D220" s="267" t="s">
        <v>451</v>
      </c>
      <c r="E220" s="265"/>
      <c r="F220" s="33"/>
      <c r="H220" s="33"/>
    </row>
    <row r="221" spans="1:8" s="5" customFormat="1">
      <c r="A221" s="33">
        <v>645161</v>
      </c>
      <c r="B221" s="33" t="str">
        <f>VLOOKUP(A221,BG311219_DEF!A:B,2,FALSE)</f>
        <v>CS - Piges Albums</v>
      </c>
      <c r="C221" s="34">
        <f>-VLOOKUP(A221,BG311219_DEF!A:C,3,FALSE)</f>
        <v>968.35</v>
      </c>
      <c r="D221" s="257" t="s">
        <v>439</v>
      </c>
      <c r="E221" s="256" t="s">
        <v>125</v>
      </c>
      <c r="F221" s="33"/>
      <c r="H221" s="33"/>
    </row>
    <row r="222" spans="1:8" s="5" customFormat="1">
      <c r="A222" s="33">
        <v>645162</v>
      </c>
      <c r="B222" s="33" t="str">
        <f>VLOOKUP(A222,BG311219_DEF!A:B,2,FALSE)</f>
        <v>CS - Stg Com &amp; Marketing</v>
      </c>
      <c r="C222" s="34">
        <f>-VLOOKUP(A222,BG311219_DEF!A:C,3,FALSE)</f>
        <v>0.37</v>
      </c>
      <c r="D222" s="267" t="s">
        <v>451</v>
      </c>
      <c r="E222" s="265"/>
      <c r="F222" s="33"/>
      <c r="H222" s="33"/>
    </row>
    <row r="223" spans="1:8" s="5" customFormat="1">
      <c r="A223" s="33">
        <v>645170</v>
      </c>
      <c r="B223" s="33" t="str">
        <f>VLOOKUP(A223,BG311219_DEF!A:B,2,FALSE)</f>
        <v>CS - Admin., Fin. et RH</v>
      </c>
      <c r="C223" s="34">
        <f>-VLOOKUP(A223,BG311219_DEF!A:C,3,FALSE)</f>
        <v>91349.42</v>
      </c>
      <c r="D223" s="267" t="s">
        <v>451</v>
      </c>
      <c r="E223" s="266"/>
      <c r="F223" s="33"/>
      <c r="H223" s="33"/>
    </row>
    <row r="224" spans="1:8" s="5" customFormat="1">
      <c r="A224" s="33">
        <v>645300</v>
      </c>
      <c r="B224" s="33" t="str">
        <f>VLOOKUP(A224,BG311219_DEF!A:B,2,FALSE)</f>
        <v>Audiens - Ass. rapatriement</v>
      </c>
      <c r="C224" s="34">
        <f>-VLOOKUP(A224,BG311219_DEF!A:C,3,FALSE)</f>
        <v>-285.63999999999987</v>
      </c>
      <c r="D224" s="253" t="s">
        <v>127</v>
      </c>
      <c r="E224" s="254" t="s">
        <v>125</v>
      </c>
      <c r="F224" s="33"/>
      <c r="H224" s="33"/>
    </row>
    <row r="225" spans="1:8" s="5" customFormat="1">
      <c r="A225" s="33">
        <v>645801</v>
      </c>
      <c r="B225" s="33" t="str">
        <f>VLOOKUP(A225,BG311219_DEF!A:B,2,FALSE)</f>
        <v>Prov sur indemnit‚s CDD</v>
      </c>
      <c r="C225" s="34">
        <f>-VLOOKUP(A225,BG311219_DEF!A:C,3,FALSE)</f>
        <v>2961.3</v>
      </c>
      <c r="D225" s="35" t="s">
        <v>126</v>
      </c>
      <c r="E225" s="246" t="s">
        <v>442</v>
      </c>
      <c r="F225" s="33"/>
      <c r="H225" s="33"/>
    </row>
    <row r="226" spans="1:8" s="5" customFormat="1">
      <c r="A226" s="33">
        <v>645820</v>
      </c>
      <c r="B226" s="33" t="str">
        <f>VLOOKUP(A226,BG311219_DEF!A:B,2,FALSE)</f>
        <v>Dot prov ch soc / C.P.</v>
      </c>
      <c r="C226" s="34">
        <f>-VLOOKUP(A226,BG311219_DEF!A:C,3,FALSE)</f>
        <v>-2494.4199999999983</v>
      </c>
      <c r="D226" s="35" t="s">
        <v>126</v>
      </c>
      <c r="E226" s="246" t="s">
        <v>442</v>
      </c>
      <c r="F226" s="33"/>
      <c r="H226" s="33"/>
    </row>
    <row r="227" spans="1:8" s="5" customFormat="1">
      <c r="A227" s="33">
        <v>645850</v>
      </c>
      <c r="B227" s="33" t="str">
        <f>VLOOKUP(A227,BG311219_DEF!A:B,2,FALSE)</f>
        <v>Cotisations AGESSA/MDA</v>
      </c>
      <c r="C227" s="34">
        <f>-VLOOKUP(A227,BG311219_DEF!A:C,3,FALSE)</f>
        <v>-462.23</v>
      </c>
      <c r="D227" s="253" t="s">
        <v>127</v>
      </c>
      <c r="E227" s="254" t="s">
        <v>125</v>
      </c>
      <c r="F227" s="33"/>
      <c r="H227" s="33"/>
    </row>
    <row r="228" spans="1:8" s="5" customFormat="1">
      <c r="A228" s="33">
        <v>647100</v>
      </c>
      <c r="B228" s="33" t="str">
        <f>VLOOKUP(A228,BG311219_DEF!A:B,2,FALSE)</f>
        <v>Tickets restaurants</v>
      </c>
      <c r="C228" s="34">
        <f>-VLOOKUP(A228,BG311219_DEF!A:C,3,FALSE)</f>
        <v>49348.599999999991</v>
      </c>
      <c r="D228" s="35" t="s">
        <v>126</v>
      </c>
      <c r="E228" s="246" t="s">
        <v>442</v>
      </c>
      <c r="F228" s="33"/>
      <c r="H228" s="33"/>
    </row>
    <row r="229" spans="1:8">
      <c r="A229" s="33">
        <v>647101</v>
      </c>
      <c r="B229" s="33" t="str">
        <f>VLOOKUP(A229,BG311219_DEF!A:B,2,FALSE)</f>
        <v>Tickets restaurants Belgique</v>
      </c>
      <c r="C229" s="34">
        <f>-VLOOKUP(A229,BG311219_DEF!A:C,3,FALSE)</f>
        <v>1481.5100000000002</v>
      </c>
      <c r="D229" s="258" t="s">
        <v>445</v>
      </c>
      <c r="E229" s="259" t="s">
        <v>440</v>
      </c>
      <c r="F229" s="234"/>
      <c r="H229" s="234"/>
    </row>
    <row r="230" spans="1:8" s="5" customFormat="1">
      <c r="A230" s="33">
        <v>647500</v>
      </c>
      <c r="B230" s="33" t="str">
        <f>VLOOKUP(A230,BG311219_DEF!A:B,2,FALSE)</f>
        <v>M‚decine du travail</v>
      </c>
      <c r="C230" s="34">
        <f>-VLOOKUP(A230,BG311219_DEF!A:C,3,FALSE)</f>
        <v>5962.24</v>
      </c>
      <c r="D230" s="35" t="s">
        <v>126</v>
      </c>
      <c r="E230" s="246" t="s">
        <v>442</v>
      </c>
      <c r="F230" s="33"/>
      <c r="H230" s="33"/>
    </row>
    <row r="231" spans="1:8" s="5" customFormat="1">
      <c r="A231" s="33">
        <v>648100</v>
      </c>
      <c r="B231" s="33" t="str">
        <f>VLOOKUP(A231,BG311219_DEF!A:B,2,FALSE)</f>
        <v>Autres charges de personnel</v>
      </c>
      <c r="C231" s="34">
        <f>-VLOOKUP(A231,BG311219_DEF!A:C,3,FALSE)</f>
        <v>30</v>
      </c>
      <c r="D231" s="35" t="s">
        <v>126</v>
      </c>
      <c r="E231" s="246" t="s">
        <v>442</v>
      </c>
      <c r="F231" s="33"/>
      <c r="H231" s="33"/>
    </row>
    <row r="232" spans="1:8" s="5" customFormat="1">
      <c r="A232" s="33">
        <v>648200</v>
      </c>
      <c r="B232" s="33" t="str">
        <f>VLOOKUP(A232,BG311219_DEF!A:B,2,FALSE)</f>
        <v>Cartes de presse</v>
      </c>
      <c r="C232" s="34">
        <f>-VLOOKUP(A232,BG311219_DEF!A:C,3,FALSE)</f>
        <v>341.59999999999997</v>
      </c>
      <c r="D232" s="253" t="s">
        <v>127</v>
      </c>
      <c r="E232" s="254" t="s">
        <v>125</v>
      </c>
      <c r="F232" s="33"/>
      <c r="H232" s="33"/>
    </row>
    <row r="233" spans="1:8" s="5" customFormat="1">
      <c r="A233" s="33">
        <v>651001</v>
      </c>
      <c r="B233" s="33" t="str">
        <f>VLOOKUP(A233,BG311219_DEF!A:B,2,FALSE)</f>
        <v>Droits auteurs - Recherche</v>
      </c>
      <c r="C233" s="34">
        <f>-VLOOKUP(A233,BG311219_DEF!A:C,3,FALSE)</f>
        <v>4817.18</v>
      </c>
      <c r="D233" s="253" t="s">
        <v>127</v>
      </c>
      <c r="E233" s="254" t="s">
        <v>125</v>
      </c>
      <c r="F233" s="33"/>
      <c r="H233" s="33"/>
    </row>
    <row r="234" spans="1:8" s="5" customFormat="1">
      <c r="A234" s="33">
        <v>651003</v>
      </c>
      <c r="B234" s="33" t="str">
        <f>VLOOKUP(A234,BG311219_DEF!A:B,2,FALSE)</f>
        <v>Droits auteurs - Communication</v>
      </c>
      <c r="C234" s="34">
        <f>-VLOOKUP(A234,BG311219_DEF!A:C,3,FALSE)</f>
        <v>-13.2</v>
      </c>
      <c r="D234" s="253" t="s">
        <v>127</v>
      </c>
      <c r="E234" s="254" t="s">
        <v>125</v>
      </c>
      <c r="F234" s="33"/>
      <c r="H234" s="33"/>
    </row>
    <row r="235" spans="1:8" s="5" customFormat="1">
      <c r="A235" s="33">
        <v>651100</v>
      </c>
      <c r="B235" s="33" t="str">
        <f>VLOOKUP(A235,BG311219_DEF!A:B,2,FALSE)</f>
        <v>Redev. lic. /Nom domaine - Com</v>
      </c>
      <c r="C235" s="34">
        <f>-VLOOKUP(A235,BG311219_DEF!A:C,3,FALSE)</f>
        <v>8.07</v>
      </c>
      <c r="D235" s="243" t="s">
        <v>127</v>
      </c>
      <c r="E235" s="244" t="s">
        <v>125</v>
      </c>
      <c r="F235" s="33"/>
      <c r="H235" s="33"/>
    </row>
    <row r="236" spans="1:8" s="5" customFormat="1">
      <c r="A236" s="33">
        <v>651101</v>
      </c>
      <c r="B236" s="33" t="str">
        <f>VLOOKUP(A236,BG311219_DEF!A:B,2,FALSE)</f>
        <v>Redev. lic. / Nom domaine - Program</v>
      </c>
      <c r="C236" s="34">
        <f>-VLOOKUP(A236,BG311219_DEF!A:C,3,FALSE)</f>
        <v>81.84</v>
      </c>
      <c r="D236" s="243" t="s">
        <v>127</v>
      </c>
      <c r="E236" s="244" t="s">
        <v>125</v>
      </c>
      <c r="F236" s="33"/>
      <c r="H236" s="33"/>
    </row>
    <row r="237" spans="1:8" s="5" customFormat="1">
      <c r="A237" s="33">
        <v>651102</v>
      </c>
      <c r="B237" s="33" t="str">
        <f>VLOOKUP(A237,BG311219_DEF!A:B,2,FALSE)</f>
        <v>Redev. lic. /Nom domaine - FG</v>
      </c>
      <c r="C237" s="34">
        <f>-VLOOKUP(A237,BG311219_DEF!A:C,3,FALSE)</f>
        <v>3300</v>
      </c>
      <c r="D237" s="35" t="s">
        <v>126</v>
      </c>
      <c r="E237" s="246" t="s">
        <v>442</v>
      </c>
      <c r="F237" s="33"/>
      <c r="H237" s="33"/>
    </row>
    <row r="238" spans="1:8" s="5" customFormat="1">
      <c r="A238" s="33">
        <v>654000</v>
      </c>
      <c r="B238" s="33" t="str">
        <f>VLOOKUP(A238,BG311219_DEF!A:B,2,FALSE)</f>
        <v>Perte sur cr‚ance irr‚couvrable</v>
      </c>
      <c r="C238" s="34">
        <f>-VLOOKUP(A238,BG311219_DEF!A:C,3,FALSE)</f>
        <v>44161.39</v>
      </c>
      <c r="D238" s="247" t="s">
        <v>443</v>
      </c>
      <c r="E238" s="248" t="s">
        <v>440</v>
      </c>
      <c r="F238" s="33"/>
      <c r="H238" s="33"/>
    </row>
    <row r="239" spans="1:8">
      <c r="A239" s="33">
        <v>657600</v>
      </c>
      <c r="B239" s="33" t="str">
        <f>VLOOKUP(A239,BG311219_DEF!A:B,2,FALSE)</f>
        <v>Subv. Bureau Tunis</v>
      </c>
      <c r="C239" s="34">
        <f>-VLOOKUP(A239,BG311219_DEF!A:C,3,FALSE)</f>
        <v>58769.599999999999</v>
      </c>
      <c r="D239" s="258" t="s">
        <v>445</v>
      </c>
      <c r="E239" s="259" t="s">
        <v>440</v>
      </c>
      <c r="F239" s="234"/>
      <c r="H239" s="234"/>
    </row>
    <row r="240" spans="1:8">
      <c r="A240" s="33">
        <v>657610</v>
      </c>
      <c r="B240" s="33" t="str">
        <f>VLOOKUP(A240,BG311219_DEF!A:B,2,FALSE)</f>
        <v>Subv. Bureau Dakar</v>
      </c>
      <c r="C240" s="34">
        <f>-VLOOKUP(A240,BG311219_DEF!A:C,3,FALSE)</f>
        <v>10487.72</v>
      </c>
      <c r="D240" s="258" t="s">
        <v>445</v>
      </c>
      <c r="E240" s="259" t="s">
        <v>440</v>
      </c>
      <c r="F240" s="234"/>
      <c r="H240" s="234"/>
    </row>
    <row r="241" spans="1:8">
      <c r="A241" s="33">
        <v>657640</v>
      </c>
      <c r="B241" s="33" t="str">
        <f>VLOOKUP(A241,BG311219_DEF!A:B,2,FALSE)</f>
        <v>Subv. Bureau  Br‚sil</v>
      </c>
      <c r="C241" s="34">
        <f>-VLOOKUP(A241,BG311219_DEF!A:C,3,FALSE)</f>
        <v>97898.75</v>
      </c>
      <c r="D241" s="258" t="s">
        <v>445</v>
      </c>
      <c r="E241" s="259" t="s">
        <v>440</v>
      </c>
      <c r="F241" s="234"/>
      <c r="H241" s="234"/>
    </row>
    <row r="242" spans="1:8">
      <c r="A242" s="33">
        <v>657650</v>
      </c>
      <c r="B242" s="33" t="str">
        <f>VLOOKUP(A242,BG311219_DEF!A:B,2,FALSE)</f>
        <v>Subv. Bureau UK</v>
      </c>
      <c r="C242" s="34">
        <f>-VLOOKUP(A242,BG311219_DEF!A:C,3,FALSE)</f>
        <v>103325.56999999999</v>
      </c>
      <c r="D242" s="258" t="s">
        <v>445</v>
      </c>
      <c r="E242" s="259" t="s">
        <v>440</v>
      </c>
      <c r="F242" s="234"/>
      <c r="H242" s="234"/>
    </row>
    <row r="243" spans="1:8">
      <c r="A243" s="33">
        <v>657660</v>
      </c>
      <c r="B243" s="33" t="str">
        <f>VLOOKUP(A243,BG311219_DEF!A:B,2,FALSE)</f>
        <v>Subv. Bureau Taipei</v>
      </c>
      <c r="C243" s="34">
        <f>-VLOOKUP(A243,BG311219_DEF!A:C,3,FALSE)</f>
        <v>149070.06</v>
      </c>
      <c r="D243" s="258" t="s">
        <v>445</v>
      </c>
      <c r="E243" s="259" t="s">
        <v>440</v>
      </c>
      <c r="F243" s="234"/>
      <c r="H243" s="234"/>
    </row>
    <row r="244" spans="1:8" s="5" customFormat="1">
      <c r="A244" s="33">
        <v>658000</v>
      </c>
      <c r="B244" s="33" t="str">
        <f>VLOOKUP(A244,BG311219_DEF!A:B,2,FALSE)</f>
        <v>Autres charges de gestion</v>
      </c>
      <c r="C244" s="34">
        <f>-VLOOKUP(A244,BG311219_DEF!A:C,3,FALSE)</f>
        <v>735.36</v>
      </c>
      <c r="D244" s="249" t="s">
        <v>444</v>
      </c>
      <c r="E244" s="250" t="s">
        <v>125</v>
      </c>
      <c r="F244" s="33"/>
      <c r="H244" s="33"/>
    </row>
    <row r="245" spans="1:8" s="5" customFormat="1">
      <c r="A245" s="33">
        <v>661002</v>
      </c>
      <c r="B245" s="33" t="str">
        <f>VLOOKUP(A245,BG311219_DEF!A:B,2,FALSE)</f>
        <v>Interets emprunt</v>
      </c>
      <c r="C245" s="34">
        <f>-VLOOKUP(A245,BG311219_DEF!A:C,3,FALSE)</f>
        <v>25045.420000000002</v>
      </c>
      <c r="D245" s="35" t="s">
        <v>126</v>
      </c>
      <c r="E245" s="246" t="s">
        <v>442</v>
      </c>
      <c r="F245" s="33"/>
      <c r="H245" s="33"/>
    </row>
    <row r="246" spans="1:8" s="5" customFormat="1">
      <c r="A246" s="33">
        <v>661600</v>
      </c>
      <c r="B246" s="33" t="str">
        <f>VLOOKUP(A246,BG311219_DEF!A:B,2,FALSE)</f>
        <v>interets caution bancaire 54ke</v>
      </c>
      <c r="C246" s="34">
        <f>-VLOOKUP(A246,BG311219_DEF!A:C,3,FALSE)</f>
        <v>547.5</v>
      </c>
      <c r="D246" s="253" t="s">
        <v>127</v>
      </c>
      <c r="E246" s="254" t="s">
        <v>125</v>
      </c>
      <c r="F246" s="33"/>
      <c r="H246" s="33"/>
    </row>
    <row r="247" spans="1:8" s="5" customFormat="1">
      <c r="A247" s="33">
        <v>666000</v>
      </c>
      <c r="B247" s="33" t="str">
        <f>VLOOKUP(A247,BG311219_DEF!A:B,2,FALSE)</f>
        <v>Perte de change</v>
      </c>
      <c r="C247" s="34">
        <f>-VLOOKUP(A247,BG311219_DEF!A:C,3,FALSE)</f>
        <v>32687.439999999999</v>
      </c>
      <c r="D247" s="249" t="s">
        <v>444</v>
      </c>
      <c r="E247" s="250" t="s">
        <v>125</v>
      </c>
      <c r="F247" s="33"/>
      <c r="H247" s="33"/>
    </row>
    <row r="248" spans="1:8" s="5" customFormat="1">
      <c r="A248" s="33">
        <v>668000</v>
      </c>
      <c r="B248" s="33" t="s">
        <v>448</v>
      </c>
      <c r="C248" s="34">
        <v>30000</v>
      </c>
      <c r="D248" s="249" t="s">
        <v>444</v>
      </c>
      <c r="E248" s="250" t="s">
        <v>125</v>
      </c>
      <c r="F248" s="33"/>
      <c r="H248" s="33"/>
    </row>
    <row r="249" spans="1:8" s="5" customFormat="1">
      <c r="A249" s="33">
        <v>671200</v>
      </c>
      <c r="B249" s="33" t="str">
        <f>VLOOKUP(A249,BG311219_DEF!A:B,2,FALSE)</f>
        <v>P‚nalit‚s et amendes fiscales</v>
      </c>
      <c r="C249" s="34">
        <f>-VLOOKUP(A249,BG311219_DEF!A:C,3,FALSE)</f>
        <v>750</v>
      </c>
      <c r="D249" s="249" t="s">
        <v>444</v>
      </c>
      <c r="E249" s="250" t="s">
        <v>125</v>
      </c>
      <c r="F249" s="33"/>
      <c r="H249" s="33"/>
    </row>
    <row r="250" spans="1:8" s="5" customFormat="1">
      <c r="A250" s="33">
        <v>671400</v>
      </c>
      <c r="B250" s="33" t="str">
        <f>VLOOKUP(A250,BG311219_DEF!A:B,2,FALSE)</f>
        <v>Creances devenues Irrec. dans l'ex.</v>
      </c>
      <c r="C250" s="34">
        <v>0</v>
      </c>
      <c r="D250" s="249" t="s">
        <v>444</v>
      </c>
      <c r="E250" s="250" t="s">
        <v>125</v>
      </c>
      <c r="F250" s="33"/>
      <c r="H250" s="33"/>
    </row>
    <row r="251" spans="1:8" s="5" customFormat="1">
      <c r="A251" s="33">
        <v>675200</v>
      </c>
      <c r="B251" s="33" t="str">
        <f>VLOOKUP(A251,BG311219_DEF!A:B,2,FALSE)</f>
        <v>VCEAC - Immos corporelles</v>
      </c>
      <c r="C251" s="34">
        <f>-VLOOKUP(A251,BG311219_DEF!A:C,3,FALSE)</f>
        <v>905.67</v>
      </c>
      <c r="D251" s="249" t="s">
        <v>444</v>
      </c>
      <c r="E251" s="250" t="s">
        <v>125</v>
      </c>
      <c r="F251" s="33"/>
      <c r="H251" s="33"/>
    </row>
    <row r="252" spans="1:8" s="5" customFormat="1">
      <c r="A252" s="33">
        <v>681110</v>
      </c>
      <c r="B252" s="33" t="str">
        <f>VLOOKUP(A252,BG311219_DEF!A:B,2,FALSE)</f>
        <v>DAP Immo incorporelles</v>
      </c>
      <c r="C252" s="34">
        <f>-VLOOKUP(A252,BG311219_DEF!A:C,3,FALSE)</f>
        <v>10319.93</v>
      </c>
      <c r="D252" s="35" t="s">
        <v>126</v>
      </c>
      <c r="E252" s="246" t="s">
        <v>442</v>
      </c>
      <c r="F252" s="33"/>
      <c r="H252" s="33"/>
    </row>
    <row r="253" spans="1:8" s="5" customFormat="1">
      <c r="A253" s="33">
        <v>681120</v>
      </c>
      <c r="B253" s="33" t="str">
        <f>VLOOKUP(A253,BG311219_DEF!A:B,2,FALSE)</f>
        <v>DAP immo corporelles</v>
      </c>
      <c r="C253" s="34">
        <f>-VLOOKUP(A253,BG311219_DEF!A:C,3,FALSE)</f>
        <v>126943.27</v>
      </c>
      <c r="D253" s="35" t="s">
        <v>126</v>
      </c>
      <c r="E253" s="246" t="s">
        <v>442</v>
      </c>
      <c r="F253" s="33"/>
      <c r="H253" s="33"/>
    </row>
    <row r="254" spans="1:8" s="5" customFormat="1">
      <c r="A254" s="33">
        <v>681500</v>
      </c>
      <c r="B254" s="33" t="s">
        <v>449</v>
      </c>
      <c r="C254" s="34">
        <v>20000</v>
      </c>
      <c r="D254" s="251" t="s">
        <v>118</v>
      </c>
      <c r="E254" s="252" t="s">
        <v>125</v>
      </c>
      <c r="F254" s="33"/>
      <c r="H254" s="33"/>
    </row>
    <row r="255" spans="1:8" s="5" customFormat="1">
      <c r="A255" s="33">
        <v>681730</v>
      </c>
      <c r="B255" s="33" t="str">
        <f>VLOOKUP(A255,BG311219_DEF!A:B,2,FALSE)</f>
        <v>Dot prov d‚pr‚c des stocks</v>
      </c>
      <c r="C255" s="34">
        <f>-VLOOKUP(A255,BG311219_DEF!A:C,3,FALSE)</f>
        <v>28729.38</v>
      </c>
      <c r="D255" s="251" t="s">
        <v>118</v>
      </c>
      <c r="E255" s="252" t="s">
        <v>125</v>
      </c>
      <c r="F255" s="33"/>
      <c r="H255" s="33"/>
    </row>
    <row r="256" spans="1:8" s="5" customFormat="1">
      <c r="A256" s="33">
        <v>687000</v>
      </c>
      <c r="B256" s="33" t="str">
        <f>VLOOKUP(A256,BG311219_DEF!A:B,2,FALSE)</f>
        <v>Dot prov p risques et charges</v>
      </c>
      <c r="C256" s="34">
        <v>0</v>
      </c>
      <c r="D256" s="251" t="s">
        <v>118</v>
      </c>
      <c r="E256" s="252" t="s">
        <v>125</v>
      </c>
      <c r="F256" s="33"/>
      <c r="H256" s="33"/>
    </row>
    <row r="257" spans="1:8" s="5" customFormat="1">
      <c r="A257" s="33">
        <v>695000</v>
      </c>
      <c r="B257" s="33" t="str">
        <f>VLOOKUP(A257,BG311219_DEF!A:B,2,FALSE)</f>
        <v>Impot sur les b‚n‚fices</v>
      </c>
      <c r="C257" s="34">
        <f>-VLOOKUP(A257,BG311219_DEF!A:C,3,FALSE)</f>
        <v>6484</v>
      </c>
      <c r="D257" s="253" t="s">
        <v>127</v>
      </c>
      <c r="E257" s="254" t="s">
        <v>125</v>
      </c>
      <c r="F257" s="33"/>
      <c r="H257" s="33"/>
    </row>
    <row r="258" spans="1:8">
      <c r="H258" s="234"/>
    </row>
    <row r="259" spans="1:8">
      <c r="H259" s="234"/>
    </row>
    <row r="260" spans="1:8">
      <c r="B260" s="2" t="s">
        <v>128</v>
      </c>
      <c r="C260" s="2"/>
      <c r="D260" s="4">
        <f>SUM(C15:C257)</f>
        <v>6774535.5399999954</v>
      </c>
      <c r="E260" s="40">
        <f>D260+BG311219_DEF!C292</f>
        <v>0</v>
      </c>
    </row>
    <row r="261" spans="1:8">
      <c r="B261" s="2" t="s">
        <v>129</v>
      </c>
      <c r="C261" s="2"/>
      <c r="D261" s="4">
        <f>+D260+BG311219_DEF!C292</f>
        <v>0</v>
      </c>
    </row>
    <row r="262" spans="1:8">
      <c r="B262" s="2"/>
      <c r="C262" s="2"/>
      <c r="D262" s="2"/>
    </row>
    <row r="263" spans="1:8">
      <c r="B263" s="2" t="s">
        <v>130</v>
      </c>
      <c r="C263" s="2"/>
      <c r="D263" s="4">
        <f>BG311219_DEF!C294</f>
        <v>130935.32000000402</v>
      </c>
    </row>
    <row r="264" spans="1:8">
      <c r="B264" s="2" t="s">
        <v>131</v>
      </c>
      <c r="C264" s="2"/>
      <c r="D264" s="4">
        <f>D261-D262</f>
        <v>0</v>
      </c>
    </row>
  </sheetData>
  <autoFilter ref="A14:E257" xr:uid="{00D1371A-4EA8-B944-B6E9-CB71B590FCF3}"/>
  <pageMargins left="0.75" right="0.75" top="1" bottom="1" header="0.5" footer="0.5"/>
  <pageSetup paperSize="8" scale="64" fitToHeight="2" orientation="portrait" horizontalDpi="4294967292" verticalDpi="429496729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92"/>
  <sheetViews>
    <sheetView showGridLines="0" zoomScale="125" workbookViewId="0">
      <selection activeCell="D18" sqref="D18"/>
    </sheetView>
  </sheetViews>
  <sheetFormatPr baseColWidth="10" defaultRowHeight="13"/>
  <cols>
    <col min="1" max="1" width="10.83203125" style="41"/>
    <col min="2" max="2" width="39.6640625" style="41" customWidth="1"/>
    <col min="3" max="3" width="18.83203125" style="58" customWidth="1"/>
    <col min="4" max="4" width="41" style="41" customWidth="1"/>
    <col min="5" max="6" width="10.83203125" style="41" customWidth="1"/>
    <col min="7" max="7" width="58.6640625" style="41" bestFit="1" customWidth="1"/>
    <col min="8" max="8" width="16.33203125" style="41" bestFit="1" customWidth="1"/>
    <col min="9" max="16384" width="10.83203125" style="41"/>
  </cols>
  <sheetData>
    <row r="1" spans="1:9" ht="16">
      <c r="A1" s="2"/>
      <c r="B1" s="2"/>
      <c r="C1" s="2"/>
      <c r="D1" s="2"/>
      <c r="G1" s="237" t="s">
        <v>436</v>
      </c>
      <c r="H1" t="s">
        <v>438</v>
      </c>
      <c r="I1"/>
    </row>
    <row r="2" spans="1:9" ht="16">
      <c r="A2" s="42"/>
      <c r="B2" s="2" t="s">
        <v>132</v>
      </c>
      <c r="C2" s="2"/>
      <c r="D2" s="2"/>
      <c r="G2" s="238" t="s">
        <v>427</v>
      </c>
      <c r="H2" s="239">
        <v>-471209.44</v>
      </c>
      <c r="I2"/>
    </row>
    <row r="3" spans="1:9" ht="16">
      <c r="A3" s="43"/>
      <c r="B3" s="2" t="s">
        <v>133</v>
      </c>
      <c r="C3" s="2"/>
      <c r="D3" s="2"/>
      <c r="G3" s="238" t="s">
        <v>158</v>
      </c>
      <c r="H3" s="239">
        <v>-10000</v>
      </c>
      <c r="I3"/>
    </row>
    <row r="4" spans="1:9" ht="16">
      <c r="A4" s="44"/>
      <c r="B4" s="2" t="s">
        <v>134</v>
      </c>
      <c r="C4" s="2"/>
      <c r="D4" s="2"/>
      <c r="G4" s="238" t="s">
        <v>426</v>
      </c>
      <c r="H4" s="239">
        <v>-1403972.04</v>
      </c>
      <c r="I4"/>
    </row>
    <row r="5" spans="1:9" ht="16">
      <c r="A5" s="36"/>
      <c r="B5" s="2" t="s">
        <v>135</v>
      </c>
      <c r="C5" s="2"/>
      <c r="D5" s="2"/>
      <c r="G5" s="238" t="s">
        <v>315</v>
      </c>
      <c r="H5" s="239">
        <v>-413826.53</v>
      </c>
      <c r="I5"/>
    </row>
    <row r="6" spans="1:9" ht="16">
      <c r="A6" s="35"/>
      <c r="B6" s="2" t="s">
        <v>136</v>
      </c>
      <c r="C6" s="2"/>
      <c r="D6" s="2"/>
      <c r="G6" s="238" t="s">
        <v>429</v>
      </c>
      <c r="H6" s="239">
        <v>-1371628.5400000003</v>
      </c>
      <c r="I6"/>
    </row>
    <row r="7" spans="1:9" ht="16">
      <c r="A7" s="45"/>
      <c r="B7" s="2" t="s">
        <v>137</v>
      </c>
      <c r="C7" s="2"/>
      <c r="D7" s="2"/>
      <c r="G7" s="238" t="s">
        <v>431</v>
      </c>
      <c r="H7" s="239">
        <v>-6200</v>
      </c>
      <c r="I7"/>
    </row>
    <row r="8" spans="1:9" ht="16">
      <c r="A8" s="46"/>
      <c r="B8" s="2" t="s">
        <v>138</v>
      </c>
      <c r="C8" s="2"/>
      <c r="D8" s="2"/>
      <c r="G8" s="238" t="s">
        <v>174</v>
      </c>
      <c r="H8" s="239">
        <v>-2376139.2200000002</v>
      </c>
      <c r="I8"/>
    </row>
    <row r="9" spans="1:9" ht="16">
      <c r="A9" s="2"/>
      <c r="B9" s="2"/>
      <c r="C9" s="2"/>
      <c r="D9" s="2"/>
      <c r="G9" s="238" t="s">
        <v>430</v>
      </c>
      <c r="H9" s="239">
        <v>-12669.899999999998</v>
      </c>
      <c r="I9"/>
    </row>
    <row r="10" spans="1:9" ht="16">
      <c r="A10" s="26" t="s">
        <v>139</v>
      </c>
      <c r="B10" s="26"/>
      <c r="C10" s="47"/>
      <c r="D10" s="26"/>
      <c r="G10" s="238" t="s">
        <v>186</v>
      </c>
      <c r="H10" s="239">
        <v>-404499.34</v>
      </c>
      <c r="I10"/>
    </row>
    <row r="11" spans="1:9" ht="16">
      <c r="A11" s="48" t="s">
        <v>120</v>
      </c>
      <c r="B11" s="30" t="s">
        <v>121</v>
      </c>
      <c r="C11" s="49" t="s">
        <v>122</v>
      </c>
      <c r="D11" s="30" t="s">
        <v>123</v>
      </c>
      <c r="G11" s="238" t="s">
        <v>428</v>
      </c>
      <c r="H11" s="239">
        <v>-385325.85</v>
      </c>
      <c r="I11"/>
    </row>
    <row r="12" spans="1:9" s="51" customFormat="1" ht="16">
      <c r="A12" s="50">
        <v>706202</v>
      </c>
      <c r="B12" s="33" t="str">
        <f>VLOOKUP(A12,BG311219_DEF!A:B,2,FALSE)</f>
        <v>Ventes Albums Export</v>
      </c>
      <c r="C12" s="34">
        <f>-VLOOKUP(A12,BG311219_DEF!A:C,3,FALSE)</f>
        <v>-7637.81</v>
      </c>
      <c r="D12" s="235" t="s">
        <v>429</v>
      </c>
      <c r="G12" s="238" t="s">
        <v>425</v>
      </c>
      <c r="H12" s="239">
        <v>0</v>
      </c>
      <c r="I12"/>
    </row>
    <row r="13" spans="1:9" s="51" customFormat="1" ht="16">
      <c r="A13" s="50">
        <v>706211</v>
      </c>
      <c r="B13" s="33" t="str">
        <f>VLOOKUP(A13,BG311219_DEF!A:B,2,FALSE)</f>
        <v>Vente Albums Intracom</v>
      </c>
      <c r="C13" s="34">
        <f>-VLOOKUP(A13,BG311219_DEF!A:C,3,FALSE)</f>
        <v>-35531.669999999991</v>
      </c>
      <c r="D13" s="235" t="s">
        <v>429</v>
      </c>
      <c r="G13" s="238" t="s">
        <v>435</v>
      </c>
      <c r="H13" s="239">
        <v>-50000</v>
      </c>
      <c r="I13"/>
    </row>
    <row r="14" spans="1:9" s="51" customFormat="1" ht="16">
      <c r="A14" s="50">
        <v>706212</v>
      </c>
      <c r="B14" s="33" t="str">
        <f>VLOOKUP(A14,BG311219_DEF!A:B,2,FALSE)</f>
        <v>Vente Nmpp albums 5,5%</v>
      </c>
      <c r="C14" s="34">
        <f>-VLOOKUP(A14,BG311219_DEF!A:C,3,FALSE)</f>
        <v>-781694.76</v>
      </c>
      <c r="D14" s="235" t="s">
        <v>429</v>
      </c>
      <c r="G14" s="238" t="s">
        <v>437</v>
      </c>
      <c r="H14" s="239">
        <v>-6905470.8599999994</v>
      </c>
      <c r="I14"/>
    </row>
    <row r="15" spans="1:9" s="51" customFormat="1" ht="16">
      <c r="A15" s="50">
        <v>706213</v>
      </c>
      <c r="B15" s="33" t="str">
        <f>VLOOKUP(A15,BG311219_DEF!A:B,2,FALSE)</f>
        <v>Album grde surfaces 5,5</v>
      </c>
      <c r="C15" s="34">
        <f>-VLOOKUP(A15,BG311219_DEF!A:C,3,FALSE)</f>
        <v>-242073.53000000003</v>
      </c>
      <c r="D15" s="235" t="s">
        <v>429</v>
      </c>
      <c r="G15"/>
      <c r="H15"/>
      <c r="I15"/>
    </row>
    <row r="16" spans="1:9" s="51" customFormat="1" ht="16">
      <c r="A16" s="50">
        <v>706219</v>
      </c>
      <c r="B16" s="33" t="str">
        <f>VLOOKUP(A16,BG311219_DEF!A:B,2,FALSE)</f>
        <v>Vente Albums 5,5%</v>
      </c>
      <c r="C16" s="34">
        <f>-VLOOKUP(A16,BG311219_DEF!A:C,3,FALSE)</f>
        <v>-63674.3</v>
      </c>
      <c r="D16" s="235" t="s">
        <v>429</v>
      </c>
      <c r="G16"/>
      <c r="H16"/>
      <c r="I16"/>
    </row>
    <row r="17" spans="1:9" s="51" customFormat="1" ht="16">
      <c r="A17" s="50">
        <v>707001</v>
      </c>
      <c r="B17" s="33" t="str">
        <f>VLOOKUP(A17,BG311219_DEF!A:B,2,FALSE)</f>
        <v>ventes aux encheres</v>
      </c>
      <c r="C17" s="34">
        <f>-VLOOKUP(A17,BG311219_DEF!A:C,3,FALSE)</f>
        <v>-6200</v>
      </c>
      <c r="D17" s="235" t="s">
        <v>431</v>
      </c>
      <c r="G17"/>
      <c r="H17"/>
      <c r="I17"/>
    </row>
    <row r="18" spans="1:9" s="51" customFormat="1" ht="16">
      <c r="A18" s="50">
        <v>707002</v>
      </c>
      <c r="B18" s="33" t="str">
        <f>VLOOKUP(A18,BG311219_DEF!A:B,2,FALSE)</f>
        <v>Objets Promotionnels 20%</v>
      </c>
      <c r="C18" s="34">
        <f>-VLOOKUP(A18,BG311219_DEF!A:C,3,FALSE)</f>
        <v>-6782.1</v>
      </c>
      <c r="D18" s="235" t="s">
        <v>429</v>
      </c>
      <c r="G18"/>
      <c r="H18"/>
      <c r="I18"/>
    </row>
    <row r="19" spans="1:9" s="51" customFormat="1" ht="14">
      <c r="A19" s="50">
        <v>707011</v>
      </c>
      <c r="B19" s="33" t="str">
        <f>VLOOKUP(A19,BG311219_DEF!A:B,2,FALSE)</f>
        <v xml:space="preserve">T-Shirts </v>
      </c>
      <c r="C19" s="34">
        <f>-VLOOKUP(A19,BG311219_DEF!A:C,3,FALSE)</f>
        <v>-183.08</v>
      </c>
      <c r="D19" s="235" t="s">
        <v>429</v>
      </c>
    </row>
    <row r="20" spans="1:9" s="51" customFormat="1" ht="14">
      <c r="A20" s="50">
        <v>708400</v>
      </c>
      <c r="B20" s="33" t="str">
        <f>VLOOKUP(A20,BG311219_DEF!A:B,2,FALSE)</f>
        <v>Mise … dispo personnel rsfi</v>
      </c>
      <c r="C20" s="34">
        <f>-VLOOKUP(A20,BG311219_DEF!A:C,3,FALSE)</f>
        <v>-50000</v>
      </c>
      <c r="D20" s="227" t="s">
        <v>435</v>
      </c>
    </row>
    <row r="21" spans="1:9" s="51" customFormat="1" ht="14">
      <c r="A21" s="50">
        <v>708500</v>
      </c>
      <c r="B21" s="33" t="str">
        <f>VLOOKUP(A21,BG311219_DEF!A:B,2,FALSE)</f>
        <v>Port France - Franco de port</v>
      </c>
      <c r="C21" s="34">
        <f>-VLOOKUP(A21,BG311219_DEF!A:C,3,FALSE)</f>
        <v>-54.46</v>
      </c>
      <c r="D21" s="235" t="s">
        <v>429</v>
      </c>
    </row>
    <row r="22" spans="1:9" s="51" customFormat="1" ht="14">
      <c r="A22" s="50">
        <v>708501</v>
      </c>
      <c r="B22" s="33" t="str">
        <f>VLOOKUP(A22,BG311219_DEF!A:B,2,FALSE)</f>
        <v>Port soumis … 5,5%</v>
      </c>
      <c r="C22" s="34">
        <f>-VLOOKUP(A22,BG311219_DEF!A:C,3,FALSE)</f>
        <v>-17332.77</v>
      </c>
      <c r="D22" s="235" t="s">
        <v>429</v>
      </c>
    </row>
    <row r="23" spans="1:9" s="51" customFormat="1" ht="14">
      <c r="A23" s="50">
        <v>708502</v>
      </c>
      <c r="B23" s="33" t="str">
        <f>VLOOKUP(A23,BG311219_DEF!A:B,2,FALSE)</f>
        <v>Port soumis … 20%</v>
      </c>
      <c r="C23" s="34">
        <f>-VLOOKUP(A23,BG311219_DEF!A:C,3,FALSE)</f>
        <v>-81.209999999999994</v>
      </c>
      <c r="D23" s="235" t="s">
        <v>429</v>
      </c>
    </row>
    <row r="24" spans="1:9" s="51" customFormat="1" ht="14">
      <c r="A24" s="50">
        <v>708503</v>
      </c>
      <c r="B24" s="33" t="str">
        <f>VLOOKUP(A24,BG311219_DEF!A:B,2,FALSE)</f>
        <v>Port Intracom</v>
      </c>
      <c r="C24" s="34">
        <f>-VLOOKUP(A24,BG311219_DEF!A:C,3,FALSE)</f>
        <v>-85.1</v>
      </c>
      <c r="D24" s="235" t="s">
        <v>429</v>
      </c>
    </row>
    <row r="25" spans="1:9" s="51" customFormat="1" ht="14">
      <c r="A25" s="50">
        <v>708504</v>
      </c>
      <c r="B25" s="33" t="str">
        <f>VLOOKUP(A25,BG311219_DEF!A:B,2,FALSE)</f>
        <v>Port Export (et DOM-TOM pour LAD)</v>
      </c>
      <c r="C25" s="34">
        <f>-VLOOKUP(A25,BG311219_DEF!A:C,3,FALSE)</f>
        <v>-1263.48</v>
      </c>
      <c r="D25" s="235" t="s">
        <v>429</v>
      </c>
    </row>
    <row r="26" spans="1:9" s="51" customFormat="1" ht="14">
      <c r="A26" s="50">
        <v>708801</v>
      </c>
      <c r="B26" s="33" t="str">
        <f>VLOOKUP(A26,BG311219_DEF!A:B,2,FALSE)</f>
        <v>Autres pdts act. annexes Recherche</v>
      </c>
      <c r="C26" s="34">
        <f>-VLOOKUP(A26,BG311219_DEF!A:C,3,FALSE)</f>
        <v>-587.5</v>
      </c>
      <c r="D26" s="227" t="s">
        <v>430</v>
      </c>
    </row>
    <row r="27" spans="1:9" s="51" customFormat="1" ht="14">
      <c r="A27" s="50">
        <v>708802</v>
      </c>
      <c r="B27" s="33" t="str">
        <f>VLOOKUP(A27,BG311219_DEF!A:B,2,FALSE)</f>
        <v>Autres pdts act. annexes Subvention</v>
      </c>
      <c r="C27" s="34">
        <f>-VLOOKUP(A27,BG311219_DEF!A:C,3,FALSE)</f>
        <v>-43441.19</v>
      </c>
      <c r="D27" s="227" t="s">
        <v>174</v>
      </c>
    </row>
    <row r="28" spans="1:9" s="51" customFormat="1" ht="14">
      <c r="A28" s="50">
        <v>709613</v>
      </c>
      <c r="B28" s="33" t="str">
        <f>VLOOKUP(A28,BG311219_DEF!A:B,2,FALSE)</f>
        <v>Avoir publi grdes surfaces 5,5</v>
      </c>
      <c r="C28" s="34">
        <f>-VLOOKUP(A28,BG311219_DEF!A:C,3,FALSE)</f>
        <v>5264.94</v>
      </c>
      <c r="D28" s="235" t="s">
        <v>429</v>
      </c>
    </row>
    <row r="29" spans="1:9" s="51" customFormat="1" ht="14">
      <c r="A29" s="50">
        <v>709624</v>
      </c>
      <c r="B29" s="33" t="str">
        <f>VLOOKUP(A29,BG311219_DEF!A:B,2,FALSE)</f>
        <v>Avoir publications Export</v>
      </c>
      <c r="C29" s="34">
        <f>-VLOOKUP(A29,BG311219_DEF!A:C,3,FALSE)</f>
        <v>18835.32</v>
      </c>
      <c r="D29" s="235" t="s">
        <v>429</v>
      </c>
    </row>
    <row r="30" spans="1:9" s="51" customFormat="1" ht="14">
      <c r="A30" s="50">
        <v>713550</v>
      </c>
      <c r="B30" s="33" t="str">
        <f>VLOOKUP(A30,BG311219_DEF!A:B,2,FALSE)</f>
        <v>Variation stock Prod. finis</v>
      </c>
      <c r="C30" s="34">
        <f>-VLOOKUP(A30,BG311219_DEF!A:C,3,FALSE)</f>
        <v>-28729.38</v>
      </c>
      <c r="D30" s="235" t="s">
        <v>429</v>
      </c>
    </row>
    <row r="31" spans="1:9" s="51" customFormat="1" ht="14">
      <c r="A31" s="233">
        <v>741000</v>
      </c>
      <c r="B31" s="234" t="str">
        <f>VLOOKUP(A31,BG311219_DEF!A:B,2,FALSE)</f>
        <v>Autres Subventions</v>
      </c>
      <c r="C31" s="226">
        <f>-VLOOKUP(A31,BG311219_DEF!A:C,3,FALSE)</f>
        <v>-210700</v>
      </c>
      <c r="D31" s="227" t="s">
        <v>425</v>
      </c>
    </row>
    <row r="32" spans="1:9" s="51" customFormat="1" ht="14">
      <c r="A32" s="229">
        <v>741000</v>
      </c>
      <c r="B32" s="230" t="str">
        <f>VLOOKUP(A32,BG311219_DEF!A:B,2,FALSE)</f>
        <v>Autres Subventions</v>
      </c>
      <c r="C32" s="231">
        <f>+VLOOKUP(A32,BG311219_DEF!A:C,3,FALSE)</f>
        <v>210700</v>
      </c>
      <c r="D32" s="232" t="s">
        <v>425</v>
      </c>
    </row>
    <row r="33" spans="1:9" s="51" customFormat="1" ht="14">
      <c r="A33" s="229">
        <v>741000</v>
      </c>
      <c r="B33" s="230" t="str">
        <f>VLOOKUP(A33,BG311219_DEF!A:B,2,FALSE)</f>
        <v>Autres Subventions</v>
      </c>
      <c r="C33" s="231">
        <f>-57700-23000-30000</f>
        <v>-110700</v>
      </c>
      <c r="D33" s="232" t="s">
        <v>174</v>
      </c>
    </row>
    <row r="34" spans="1:9" s="51" customFormat="1" ht="14">
      <c r="A34" s="229">
        <v>741000</v>
      </c>
      <c r="B34" s="230" t="str">
        <f>VLOOKUP(A34,BG311219_DEF!A:B,2,FALSE)</f>
        <v>Autres Subventions</v>
      </c>
      <c r="C34" s="231">
        <f>-10000-50000-30000-10000</f>
        <v>-100000</v>
      </c>
      <c r="D34" s="236" t="s">
        <v>426</v>
      </c>
    </row>
    <row r="35" spans="1:9" s="51" customFormat="1" ht="14">
      <c r="A35" s="50">
        <v>741200</v>
      </c>
      <c r="B35" s="33" t="str">
        <f>VLOOKUP(A35,BG311219_DEF!A:B,2,FALSE)</f>
        <v>Contrats Orga Intern OIF / UE</v>
      </c>
      <c r="C35" s="34">
        <f>-VLOOKUP(A35,BG311219_DEF!A:C,3,FALSE)</f>
        <v>-427135.53</v>
      </c>
      <c r="D35" s="227" t="s">
        <v>174</v>
      </c>
    </row>
    <row r="36" spans="1:9" s="51" customFormat="1" ht="14">
      <c r="A36" s="50">
        <v>741400</v>
      </c>
      <c r="B36" s="33" t="str">
        <f>VLOOKUP(A36,BG311219_DEF!A:B,2,FALSE)</f>
        <v>Contrats MinistŠres1ER MINISTRE AFD</v>
      </c>
      <c r="C36" s="34">
        <f>-VLOOKUP(A36,BG311219_DEF!A:C,3,FALSE)</f>
        <v>-781131.61</v>
      </c>
      <c r="D36" s="227" t="s">
        <v>174</v>
      </c>
    </row>
    <row r="37" spans="1:9" s="51" customFormat="1" ht="14">
      <c r="A37" s="50">
        <v>741800</v>
      </c>
      <c r="B37" s="33" t="str">
        <f>VLOOKUP(A37,BG311219_DEF!A:B,2,FALSE)</f>
        <v>Subventions internationales</v>
      </c>
      <c r="C37" s="34">
        <f>-VLOOKUP(A37,BG311219_DEF!A:C,3,FALSE)</f>
        <v>-2245702.9300000002</v>
      </c>
      <c r="D37" s="227" t="s">
        <v>425</v>
      </c>
      <c r="E37" s="240"/>
      <c r="F37" s="240"/>
      <c r="G37" s="240"/>
      <c r="H37" s="240"/>
      <c r="I37" s="240"/>
    </row>
    <row r="38" spans="1:9" s="51" customFormat="1" ht="14">
      <c r="A38" s="229">
        <v>741800</v>
      </c>
      <c r="B38" s="230" t="str">
        <f>VLOOKUP(A38,BG311219_DEF!A:B,2,FALSE)</f>
        <v>Subventions internationales</v>
      </c>
      <c r="C38" s="231">
        <f>VLOOKUP(A38,BG311219_DEF!A:C,3,FALSE)</f>
        <v>2245702.9300000002</v>
      </c>
      <c r="D38" s="232" t="s">
        <v>425</v>
      </c>
      <c r="E38" s="240"/>
      <c r="F38" s="240"/>
      <c r="G38" s="240"/>
      <c r="H38" s="240"/>
      <c r="I38" s="240"/>
    </row>
    <row r="39" spans="1:9" s="51" customFormat="1" ht="14">
      <c r="A39" s="229">
        <v>741800</v>
      </c>
      <c r="B39" s="230" t="str">
        <f>VLOOKUP(A39,BG311219_DEF!A:B,2,FALSE)</f>
        <v>Subventions internationales</v>
      </c>
      <c r="C39" s="231">
        <v>-1013730.89</v>
      </c>
      <c r="D39" s="232" t="s">
        <v>174</v>
      </c>
      <c r="E39" s="240"/>
      <c r="F39" s="240"/>
      <c r="G39" s="240"/>
      <c r="H39" s="240"/>
      <c r="I39" s="240"/>
    </row>
    <row r="40" spans="1:9" s="51" customFormat="1" ht="14">
      <c r="A40" s="229">
        <v>741800</v>
      </c>
      <c r="B40" s="230" t="str">
        <f>VLOOKUP(A40,BG311219_DEF!A:B,2,FALSE)</f>
        <v>Subventions internationales</v>
      </c>
      <c r="C40" s="231">
        <v>-1231972.04</v>
      </c>
      <c r="D40" s="236" t="s">
        <v>426</v>
      </c>
      <c r="E40" s="240"/>
      <c r="F40" s="240"/>
      <c r="G40" s="240"/>
      <c r="H40" s="240"/>
      <c r="I40" s="240"/>
    </row>
    <row r="41" spans="1:9" s="51" customFormat="1" ht="14">
      <c r="A41" s="50">
        <v>751000</v>
      </c>
      <c r="B41" s="33" t="str">
        <f>VLOOKUP(A41,BG311219_DEF!A:B,2,FALSE)</f>
        <v>Droits d'auteur</v>
      </c>
      <c r="C41" s="34">
        <f>-VLOOKUP(A41,BG311219_DEF!A:C,3,FALSE)</f>
        <v>-1429.09</v>
      </c>
      <c r="D41" s="235" t="s">
        <v>429</v>
      </c>
      <c r="E41" s="240"/>
      <c r="F41" s="240"/>
      <c r="G41" s="240"/>
      <c r="H41" s="240"/>
      <c r="I41" s="240"/>
    </row>
    <row r="42" spans="1:9" s="51" customFormat="1" ht="14">
      <c r="A42" s="50">
        <v>751100</v>
      </c>
      <c r="B42" s="33" t="str">
        <f>VLOOKUP(A42,BG311219_DEF!A:B,2,FALSE)</f>
        <v>Royalties 20%</v>
      </c>
      <c r="C42" s="34">
        <f>-VLOOKUP(A42,BG311219_DEF!A:C,3,FALSE)</f>
        <v>-907.79999999999973</v>
      </c>
      <c r="D42" s="235" t="s">
        <v>429</v>
      </c>
      <c r="E42" s="240"/>
      <c r="F42" s="241"/>
      <c r="G42" s="227"/>
      <c r="H42" s="227"/>
      <c r="I42" s="240"/>
    </row>
    <row r="43" spans="1:9" s="51" customFormat="1" ht="14">
      <c r="A43" s="50">
        <v>751101</v>
      </c>
      <c r="B43" s="33" t="str">
        <f>VLOOKUP(A43,BG311219_DEF!A:B,2,FALSE)</f>
        <v>Royalties sans TVA - Hors CEE</v>
      </c>
      <c r="C43" s="34">
        <f>-VLOOKUP(A43,BG311219_DEF!A:C,3,FALSE)</f>
        <v>-4151</v>
      </c>
      <c r="D43" s="235" t="s">
        <v>429</v>
      </c>
      <c r="E43" s="240"/>
      <c r="F43" s="241"/>
      <c r="G43" s="227"/>
      <c r="H43" s="227"/>
      <c r="I43" s="240"/>
    </row>
    <row r="44" spans="1:9" s="51" customFormat="1" ht="14">
      <c r="A44" s="50">
        <v>758000</v>
      </c>
      <c r="B44" s="33" t="str">
        <f>VLOOKUP(A44,BG311219_DEF!A:B,2,FALSE)</f>
        <v>Produits divers sans TVA</v>
      </c>
      <c r="C44" s="34">
        <f>-VLOOKUP(A44,BG311219_DEF!A:C,3,FALSE)</f>
        <v>-16488.28</v>
      </c>
      <c r="D44" s="227" t="s">
        <v>430</v>
      </c>
      <c r="E44" s="240"/>
      <c r="F44" s="240"/>
      <c r="G44" s="227"/>
      <c r="H44" s="227"/>
      <c r="I44" s="240"/>
    </row>
    <row r="45" spans="1:9" s="51" customFormat="1" ht="14">
      <c r="A45" s="50">
        <v>758011</v>
      </c>
      <c r="B45" s="33" t="str">
        <f>VLOOKUP(A45,BG311219_DEF!A:B,2,FALSE)</f>
        <v>Produits pub album 20%</v>
      </c>
      <c r="C45" s="34">
        <f>-VLOOKUP(A45,BG311219_DEF!A:C,3,FALSE)</f>
        <v>-152228</v>
      </c>
      <c r="D45" s="235" t="s">
        <v>429</v>
      </c>
      <c r="E45" s="240"/>
      <c r="F45" s="242"/>
      <c r="G45" s="240"/>
      <c r="H45" s="240"/>
      <c r="I45" s="240"/>
    </row>
    <row r="46" spans="1:9" s="51" customFormat="1" ht="14">
      <c r="A46" s="50">
        <v>758020</v>
      </c>
      <c r="B46" s="33" t="str">
        <f>VLOOKUP(A46,BG311219_DEF!A:B,2,FALSE)</f>
        <v>Produits pub album CEE</v>
      </c>
      <c r="C46" s="34">
        <f>-VLOOKUP(A46,BG311219_DEF!A:C,3,FALSE)</f>
        <v>-14999</v>
      </c>
      <c r="D46" s="235" t="s">
        <v>429</v>
      </c>
      <c r="E46" s="240"/>
      <c r="F46" s="240"/>
      <c r="G46" s="227"/>
      <c r="H46" s="227"/>
      <c r="I46" s="240"/>
    </row>
    <row r="47" spans="1:9" s="51" customFormat="1" ht="14">
      <c r="A47" s="50">
        <v>758098</v>
      </c>
      <c r="B47" s="33" t="str">
        <f>VLOOKUP(A47,BG311219_DEF!A:B,2,FALSE)</f>
        <v>Dons CEE avec RF</v>
      </c>
      <c r="C47" s="34">
        <f>-VLOOKUP(A47,BG311219_DEF!A:C,3,FALSE)</f>
        <v>-1695</v>
      </c>
      <c r="D47" s="235" t="s">
        <v>427</v>
      </c>
      <c r="E47" s="240"/>
      <c r="F47" s="240"/>
      <c r="G47" s="240"/>
      <c r="H47" s="240"/>
      <c r="I47" s="240"/>
    </row>
    <row r="48" spans="1:9" s="51" customFormat="1" ht="14">
      <c r="A48" s="50">
        <v>758099</v>
      </c>
      <c r="B48" s="33" t="str">
        <f>VLOOKUP(A48,BG311219_DEF!A:B,2,FALSE)</f>
        <v>Dons sans RF</v>
      </c>
      <c r="C48" s="34">
        <f>-VLOOKUP(A48,BG311219_DEF!A:C,3,FALSE)</f>
        <v>-31319.419999999991</v>
      </c>
      <c r="D48" s="235" t="s">
        <v>427</v>
      </c>
    </row>
    <row r="49" spans="1:8" s="51" customFormat="1" ht="14">
      <c r="A49" s="50">
        <v>758100</v>
      </c>
      <c r="B49" s="33" t="str">
        <f>VLOOKUP(A49,BG311219_DEF!A:B,2,FALSE)</f>
        <v>Dons</v>
      </c>
      <c r="C49" s="34">
        <f>-VLOOKUP(A49,BG311219_DEF!A:C,3,FALSE)</f>
        <v>-148308.64000000001</v>
      </c>
      <c r="D49" s="235" t="s">
        <v>427</v>
      </c>
    </row>
    <row r="50" spans="1:8" s="51" customFormat="1" ht="14">
      <c r="A50" s="50">
        <v>758108</v>
      </c>
      <c r="B50" s="33" t="str">
        <f>VLOOKUP(A50,BG311219_DEF!A:B,2,FALSE)</f>
        <v>SG carte caritative</v>
      </c>
      <c r="C50" s="34">
        <f>-VLOOKUP(A50,BG311219_DEF!A:C,3,FALSE)</f>
        <v>-35195.259999999995</v>
      </c>
      <c r="D50" s="235" t="s">
        <v>429</v>
      </c>
    </row>
    <row r="51" spans="1:8" s="51" customFormat="1" ht="14">
      <c r="A51" s="50">
        <v>758109</v>
      </c>
      <c r="B51" s="33" t="str">
        <f>VLOOKUP(A51,BG311219_DEF!A:B,2,FALSE)</f>
        <v xml:space="preserve">Don en ligne </v>
      </c>
      <c r="C51" s="34">
        <f>-VLOOKUP(A51,BG311219_DEF!A:C,3,FALSE)</f>
        <v>-270045.38</v>
      </c>
      <c r="D51" s="235" t="s">
        <v>427</v>
      </c>
    </row>
    <row r="52" spans="1:8" s="51" customFormat="1" ht="14">
      <c r="A52" s="50">
        <v>758150</v>
      </c>
      <c r="B52" s="33" t="str">
        <f>VLOOKUP(A52,BG311219_DEF!A:B,2,FALSE)</f>
        <v>Legs</v>
      </c>
      <c r="C52" s="34">
        <f>-VLOOKUP(A52,BG311219_DEF!A:C,3,FALSE)</f>
        <v>-10000</v>
      </c>
      <c r="D52" s="235" t="s">
        <v>158</v>
      </c>
    </row>
    <row r="53" spans="1:8" s="51" customFormat="1" ht="14">
      <c r="A53" s="50">
        <v>758200</v>
      </c>
      <c r="B53" s="33" t="str">
        <f>VLOOKUP(A53,BG311219_DEF!A:B,2,FALSE)</f>
        <v>M‚c‚nat entreprises fr (RF)</v>
      </c>
      <c r="C53" s="34">
        <f>-VLOOKUP(A53,BG311219_DEF!A:C,3,FALSE)</f>
        <v>-72000</v>
      </c>
      <c r="D53" s="235" t="s">
        <v>426</v>
      </c>
    </row>
    <row r="54" spans="1:8" s="51" customFormat="1" ht="14">
      <c r="A54" s="50">
        <v>758300</v>
      </c>
      <c r="B54" s="33" t="str">
        <f>VLOOKUP(A54,BG311219_DEF!A:B,2,FALSE)</f>
        <v>Partenariat Prix</v>
      </c>
      <c r="C54" s="34">
        <f>-VLOOKUP(A54,BG311219_DEF!A:C,3,FALSE)</f>
        <v>-413826.53</v>
      </c>
      <c r="D54" s="235" t="s">
        <v>315</v>
      </c>
      <c r="F54" s="53"/>
      <c r="G54" s="52"/>
      <c r="H54" s="52"/>
    </row>
    <row r="55" spans="1:8" s="51" customFormat="1" ht="14">
      <c r="A55" s="50">
        <v>758560</v>
      </c>
      <c r="B55" s="33" t="str">
        <f>VLOOKUP(A55,BG311219_DEF!A:B,2,FALSE)</f>
        <v>Cotisations</v>
      </c>
      <c r="C55" s="34">
        <f>-VLOOKUP(A55,BG311219_DEF!A:C,3,FALSE)</f>
        <v>-21506</v>
      </c>
      <c r="D55" s="235" t="s">
        <v>427</v>
      </c>
    </row>
    <row r="56" spans="1:8" s="51" customFormat="1" ht="14">
      <c r="A56" s="50">
        <v>758561</v>
      </c>
      <c r="B56" s="33" t="str">
        <f>VLOOKUP(A56,BG311219_DEF!A:B,2,FALSE)</f>
        <v>Cotisations etrangeres</v>
      </c>
      <c r="C56" s="34">
        <f>-VLOOKUP(A56,BG311219_DEF!A:C,3,FALSE)</f>
        <v>-30</v>
      </c>
      <c r="D56" s="235" t="s">
        <v>427</v>
      </c>
    </row>
    <row r="57" spans="1:8" s="51" customFormat="1" ht="26">
      <c r="A57" s="50">
        <v>761000</v>
      </c>
      <c r="B57" s="33" t="str">
        <f>VLOOKUP(A57,BG311219_DEF!A:B,2,FALSE)</f>
        <v>Pdts financiers</v>
      </c>
      <c r="C57" s="34">
        <f>-VLOOKUP(A57,BG311219_DEF!A:C,3,FALSE)</f>
        <v>-601.41</v>
      </c>
      <c r="D57" s="227" t="s">
        <v>428</v>
      </c>
    </row>
    <row r="58" spans="1:8" s="51" customFormat="1" ht="26">
      <c r="A58" s="50">
        <v>766000</v>
      </c>
      <c r="B58" s="33" t="str">
        <f>VLOOKUP(A58,BG311219_DEF!A:B,2,FALSE)</f>
        <v>Gain de change</v>
      </c>
      <c r="C58" s="34">
        <f>-VLOOKUP(A58,BG311219_DEF!A:C,3,FALSE)</f>
        <v>-5001.87</v>
      </c>
      <c r="D58" s="227" t="s">
        <v>428</v>
      </c>
    </row>
    <row r="59" spans="1:8" s="51" customFormat="1" ht="26">
      <c r="A59" s="50">
        <v>775200</v>
      </c>
      <c r="B59" s="33" t="str">
        <f>VLOOKUP(A59,BG311219_DEF!A:B,2,FALSE)</f>
        <v>PCEA - Immos corporelles</v>
      </c>
      <c r="C59" s="34">
        <f>-VLOOKUP(A59,BG311219_DEF!A:C,3,FALSE)</f>
        <v>-737.5</v>
      </c>
      <c r="D59" s="227" t="s">
        <v>428</v>
      </c>
    </row>
    <row r="60" spans="1:8" s="51" customFormat="1" ht="14">
      <c r="A60" s="50">
        <v>781730</v>
      </c>
      <c r="B60" s="33" t="str">
        <f>VLOOKUP(A60,BG311219_DEF!A:B,2,FALSE)</f>
        <v>Reprise s/prov d‚pr. stocks</v>
      </c>
      <c r="C60" s="34">
        <f>-VLOOKUP(A60,BG311219_DEF!A:C,3,FALSE)</f>
        <v>-334418.88</v>
      </c>
      <c r="D60" s="227" t="s">
        <v>186</v>
      </c>
    </row>
    <row r="61" spans="1:8" s="51" customFormat="1" ht="14">
      <c r="A61" s="50">
        <v>781740</v>
      </c>
      <c r="B61" s="33" t="str">
        <f>VLOOKUP(A61,BG311219_DEF!A:B,2,FALSE)</f>
        <v>reprise prov clients</v>
      </c>
      <c r="C61" s="34">
        <f>-VLOOKUP(A61,BG311219_DEF!A:C,3,FALSE)</f>
        <v>-40080.46</v>
      </c>
      <c r="D61" s="227" t="s">
        <v>186</v>
      </c>
    </row>
    <row r="62" spans="1:8" s="51" customFormat="1" ht="14">
      <c r="A62" s="50">
        <v>786620</v>
      </c>
      <c r="B62" s="33" t="str">
        <f>VLOOKUP(A62,BG311219_DEF!A:B,2,FALSE)</f>
        <v>Reprise Pov. &amp; D‚p. Immo. Fi</v>
      </c>
      <c r="C62" s="34">
        <f>-VLOOKUP(A62,BG311219_DEF!A:C,3,FALSE)</f>
        <v>-30000</v>
      </c>
      <c r="D62" s="227" t="s">
        <v>186</v>
      </c>
    </row>
    <row r="63" spans="1:8" s="51" customFormat="1" ht="14">
      <c r="A63" s="50">
        <v>791002</v>
      </c>
      <c r="B63" s="33" t="str">
        <f>VLOOKUP(A63,BG311219_DEF!A:B,2,FALSE)</f>
        <v>Remboursement cpam</v>
      </c>
      <c r="C63" s="34">
        <f>-VLOOKUP(A63,BG311219_DEF!A:C,3,FALSE)</f>
        <v>10009.16</v>
      </c>
      <c r="D63" s="227" t="s">
        <v>430</v>
      </c>
    </row>
    <row r="64" spans="1:8" s="51" customFormat="1" ht="14">
      <c r="A64" s="229">
        <v>791004</v>
      </c>
      <c r="B64" s="230" t="str">
        <f>VLOOKUP(A64,BG311219_DEF!A:B,2,FALSE)</f>
        <v>Transfert de charge Erena</v>
      </c>
      <c r="C64" s="231">
        <f>-VLOOKUP(A64,BG311219_DEF!A:C,3,FALSE)</f>
        <v>-384588.35</v>
      </c>
      <c r="D64" s="236" t="s">
        <v>174</v>
      </c>
    </row>
    <row r="65" spans="1:4" s="55" customFormat="1" ht="12">
      <c r="A65" s="50"/>
      <c r="C65" s="56"/>
    </row>
    <row r="66" spans="1:4" s="55" customFormat="1" ht="12">
      <c r="A66" s="57" t="s">
        <v>141</v>
      </c>
      <c r="B66" s="2"/>
      <c r="C66" s="4">
        <f>SUM(C12:C64)</f>
        <v>-6905470.8599999994</v>
      </c>
    </row>
    <row r="67" spans="1:4" s="55" customFormat="1" ht="12">
      <c r="A67" s="54"/>
      <c r="C67" s="56" t="b">
        <f>+C66=-BG311219_DEF!C293</f>
        <v>1</v>
      </c>
    </row>
    <row r="68" spans="1:4" s="55" customFormat="1" ht="12">
      <c r="C68" s="56"/>
    </row>
    <row r="69" spans="1:4" s="55" customFormat="1" ht="12">
      <c r="A69" s="55" t="s">
        <v>142</v>
      </c>
      <c r="C69" s="56">
        <f>-C66-'Charges 31122019'!D260</f>
        <v>130935.32000000402</v>
      </c>
      <c r="D69" s="55" t="s">
        <v>143</v>
      </c>
    </row>
    <row r="70" spans="1:4" s="55" customFormat="1" ht="12">
      <c r="C70" s="56">
        <f>C69-'Charges 31122019'!D263</f>
        <v>0</v>
      </c>
    </row>
    <row r="71" spans="1:4" s="55" customFormat="1" ht="12"/>
    <row r="72" spans="1:4" s="55" customFormat="1" ht="12"/>
    <row r="73" spans="1:4" s="55" customFormat="1" ht="12"/>
    <row r="74" spans="1:4" s="55" customFormat="1" ht="12"/>
    <row r="75" spans="1:4" s="55" customFormat="1" ht="12"/>
    <row r="76" spans="1:4" s="55" customFormat="1" ht="12"/>
    <row r="77" spans="1:4" s="55" customFormat="1" ht="12"/>
    <row r="78" spans="1:4" s="55" customFormat="1" ht="12"/>
    <row r="79" spans="1:4" s="55" customFormat="1" ht="12"/>
    <row r="80" spans="1:4" s="55" customFormat="1" ht="12"/>
    <row r="81" spans="1:8" s="55" customFormat="1" ht="12"/>
    <row r="82" spans="1:8" s="55" customFormat="1" ht="12"/>
    <row r="83" spans="1:8" s="55" customFormat="1" ht="12"/>
    <row r="84" spans="1:8" s="55" customFormat="1" ht="12"/>
    <row r="85" spans="1:8" s="55" customFormat="1" ht="12"/>
    <row r="86" spans="1:8" s="55" customFormat="1" ht="12"/>
    <row r="87" spans="1:8" s="55" customFormat="1" ht="12"/>
    <row r="88" spans="1:8" s="55" customFormat="1" ht="12"/>
    <row r="89" spans="1:8" s="55" customFormat="1" ht="12"/>
    <row r="90" spans="1:8" s="55" customFormat="1" ht="12"/>
    <row r="91" spans="1:8" s="55" customFormat="1" ht="12"/>
    <row r="92" spans="1:8">
      <c r="A92" s="55"/>
      <c r="B92" s="55"/>
      <c r="C92" s="55"/>
      <c r="D92" s="55"/>
      <c r="E92" s="55"/>
      <c r="F92" s="55"/>
      <c r="G92" s="55"/>
      <c r="H92" s="55"/>
    </row>
  </sheetData>
  <autoFilter ref="A11:D64" xr:uid="{CAB2A4A4-07DD-4841-AA1C-954D204F71F9}"/>
  <pageMargins left="0.75" right="0.75" top="1" bottom="1" header="0.5" footer="0.5"/>
  <pageSetup paperSize="9" scale="54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Y64"/>
  <sheetViews>
    <sheetView showGridLines="0" zoomScale="70" zoomScaleNormal="70" zoomScalePageLayoutView="70" workbookViewId="0">
      <pane xSplit="1" ySplit="5" topLeftCell="B6" activePane="bottomRight" state="frozen"/>
      <selection activeCell="D7" sqref="D7"/>
      <selection pane="topRight" activeCell="D7" sqref="D7"/>
      <selection pane="bottomLeft" activeCell="D7" sqref="D7"/>
      <selection pane="bottomRight" activeCell="L59" sqref="L59"/>
    </sheetView>
  </sheetViews>
  <sheetFormatPr baseColWidth="10" defaultColWidth="13.33203125" defaultRowHeight="16"/>
  <cols>
    <col min="1" max="1" width="8.1640625" style="59" customWidth="1"/>
    <col min="2" max="2" width="3.5" style="60" customWidth="1"/>
    <col min="3" max="3" width="14.5" style="60" customWidth="1"/>
    <col min="4" max="4" width="58.33203125" style="60" customWidth="1"/>
    <col min="5" max="5" width="2.5" style="60" customWidth="1"/>
    <col min="6" max="7" width="25" style="61" customWidth="1"/>
    <col min="8" max="8" width="16.33203125" style="60" customWidth="1"/>
    <col min="9" max="9" width="2.33203125" style="60" customWidth="1"/>
    <col min="10" max="10" width="29" style="60" customWidth="1"/>
    <col min="11" max="11" width="13.33203125" style="60"/>
    <col min="12" max="12" width="40.1640625" style="60" customWidth="1"/>
    <col min="13" max="13" width="3.1640625" style="60" customWidth="1"/>
    <col min="14" max="15" width="25" style="61" customWidth="1"/>
    <col min="16" max="16" width="17.1640625" style="60" customWidth="1"/>
    <col min="17" max="17" width="18" style="60" customWidth="1"/>
    <col min="18" max="18" width="42.5" style="60" customWidth="1"/>
    <col min="19" max="22" width="13.33203125" style="60"/>
    <col min="23" max="24" width="15.5" style="60" customWidth="1"/>
    <col min="25" max="25" width="13.33203125" style="60" customWidth="1"/>
    <col min="26" max="16384" width="13.33203125" style="60"/>
  </cols>
  <sheetData>
    <row r="2" spans="1:25" ht="17" thickBot="1"/>
    <row r="3" spans="1:25" ht="60.75" customHeight="1" thickBot="1">
      <c r="B3" s="62" t="s">
        <v>432</v>
      </c>
      <c r="C3" s="63"/>
      <c r="D3" s="63"/>
      <c r="E3" s="63"/>
      <c r="F3" s="64"/>
      <c r="G3" s="64"/>
      <c r="H3" s="63"/>
      <c r="I3" s="63"/>
      <c r="J3" s="63"/>
      <c r="K3" s="63"/>
      <c r="L3" s="63"/>
      <c r="M3" s="63"/>
      <c r="N3" s="64"/>
      <c r="O3" s="64"/>
      <c r="P3" s="65"/>
    </row>
    <row r="4" spans="1:25" s="59" customFormat="1" ht="6" customHeight="1" thickBot="1">
      <c r="B4" s="66"/>
      <c r="C4" s="66"/>
      <c r="D4" s="66"/>
      <c r="E4" s="66"/>
      <c r="F4" s="67"/>
      <c r="G4" s="67"/>
      <c r="H4" s="66"/>
      <c r="I4" s="66"/>
      <c r="J4" s="66"/>
      <c r="K4" s="66"/>
      <c r="L4" s="66"/>
      <c r="M4" s="66"/>
      <c r="N4" s="67"/>
      <c r="O4" s="67"/>
      <c r="P4" s="66"/>
    </row>
    <row r="5" spans="1:25" s="77" customFormat="1" ht="125.25" customHeight="1" thickBot="1">
      <c r="A5" s="68"/>
      <c r="B5" s="69" t="s">
        <v>144</v>
      </c>
      <c r="C5" s="70"/>
      <c r="D5" s="71"/>
      <c r="E5" s="72"/>
      <c r="F5" s="73" t="s">
        <v>433</v>
      </c>
      <c r="G5" s="73" t="s">
        <v>434</v>
      </c>
      <c r="H5" s="74"/>
      <c r="I5" s="278" t="s">
        <v>145</v>
      </c>
      <c r="J5" s="278"/>
      <c r="K5" s="278"/>
      <c r="L5" s="278"/>
      <c r="M5" s="279"/>
      <c r="N5" s="75" t="s">
        <v>446</v>
      </c>
      <c r="O5" s="73" t="s">
        <v>447</v>
      </c>
      <c r="P5" s="76"/>
    </row>
    <row r="6" spans="1:25" s="59" customFormat="1" ht="3.75" customHeight="1" thickBot="1">
      <c r="B6" s="78"/>
      <c r="C6" s="79"/>
      <c r="D6" s="79"/>
      <c r="E6" s="79"/>
      <c r="F6" s="80"/>
      <c r="G6" s="80"/>
      <c r="H6" s="81"/>
      <c r="I6" s="78"/>
      <c r="J6" s="82"/>
      <c r="K6" s="82"/>
      <c r="L6" s="82"/>
      <c r="M6" s="82"/>
      <c r="N6" s="83"/>
      <c r="O6" s="83"/>
      <c r="P6" s="84"/>
    </row>
    <row r="7" spans="1:25" ht="34.5" customHeight="1">
      <c r="B7" s="85"/>
      <c r="C7" s="86"/>
      <c r="D7" s="86"/>
      <c r="E7" s="86"/>
      <c r="F7" s="87"/>
      <c r="G7" s="88"/>
      <c r="H7" s="89"/>
      <c r="I7" s="90"/>
      <c r="J7" s="280" t="s">
        <v>146</v>
      </c>
      <c r="K7" s="280"/>
      <c r="L7" s="280"/>
      <c r="M7" s="91"/>
      <c r="N7" s="87"/>
      <c r="O7" s="92">
        <v>0</v>
      </c>
      <c r="P7" s="93" t="s">
        <v>147</v>
      </c>
    </row>
    <row r="8" spans="1:25" s="59" customFormat="1" ht="27.75" customHeight="1">
      <c r="B8" s="94"/>
      <c r="C8" s="95"/>
      <c r="D8" s="95"/>
      <c r="E8" s="95"/>
      <c r="F8" s="96"/>
      <c r="G8" s="96"/>
      <c r="H8" s="97"/>
      <c r="I8" s="98"/>
      <c r="J8" s="99"/>
      <c r="K8" s="99"/>
      <c r="L8" s="99"/>
      <c r="M8" s="99"/>
      <c r="N8" s="100"/>
      <c r="O8" s="100"/>
      <c r="P8" s="101"/>
      <c r="Q8" s="269"/>
    </row>
    <row r="9" spans="1:25">
      <c r="A9" s="274">
        <f>F9/$F$34</f>
        <v>0.85057203286946936</v>
      </c>
      <c r="B9" s="102"/>
      <c r="C9" s="103" t="s">
        <v>148</v>
      </c>
      <c r="D9" s="104"/>
      <c r="E9" s="104"/>
      <c r="F9" s="105">
        <f>F11+F17</f>
        <v>5720782.6181971999</v>
      </c>
      <c r="G9" s="105">
        <f>G11+G17</f>
        <v>257230.33386308199</v>
      </c>
      <c r="H9" s="106" t="s">
        <v>149</v>
      </c>
      <c r="I9" s="102"/>
      <c r="J9" s="103" t="s">
        <v>150</v>
      </c>
      <c r="K9" s="104"/>
      <c r="L9" s="104"/>
      <c r="M9" s="104"/>
      <c r="N9" s="105">
        <f>(N11+N17)</f>
        <v>482904.44</v>
      </c>
      <c r="O9" s="105">
        <f>O11</f>
        <v>482904.44</v>
      </c>
      <c r="P9" s="107" t="s">
        <v>151</v>
      </c>
      <c r="Q9" s="270">
        <f>N9/$N$34</f>
        <v>7.428188825537263E-2</v>
      </c>
    </row>
    <row r="10" spans="1:25">
      <c r="A10" s="274"/>
      <c r="B10" s="102"/>
      <c r="D10" s="109"/>
      <c r="E10" s="104"/>
      <c r="F10" s="110"/>
      <c r="G10" s="105"/>
      <c r="H10" s="111"/>
      <c r="I10" s="102"/>
      <c r="J10" s="104"/>
      <c r="K10" s="104"/>
      <c r="L10" s="104"/>
      <c r="M10" s="104"/>
      <c r="N10" s="100"/>
      <c r="O10" s="100"/>
      <c r="P10" s="112"/>
      <c r="Q10" s="270"/>
    </row>
    <row r="11" spans="1:25">
      <c r="A11" s="274"/>
      <c r="B11" s="102"/>
      <c r="C11" s="103" t="s">
        <v>152</v>
      </c>
      <c r="D11" s="104"/>
      <c r="E11" s="104"/>
      <c r="F11" s="105">
        <f>F12+F13</f>
        <v>3543063.4953909256</v>
      </c>
      <c r="G11" s="105">
        <f>G12+G13</f>
        <v>257230.33386308199</v>
      </c>
      <c r="H11" s="111"/>
      <c r="I11" s="102"/>
      <c r="J11" s="103" t="s">
        <v>153</v>
      </c>
      <c r="K11" s="104"/>
      <c r="L11" s="104"/>
      <c r="M11" s="104"/>
      <c r="N11" s="105">
        <f>SUM(N12:N15)</f>
        <v>482904.44</v>
      </c>
      <c r="O11" s="105">
        <f>SUM(O12:O15)</f>
        <v>482904.44</v>
      </c>
      <c r="P11" s="112"/>
      <c r="Q11" s="270"/>
      <c r="T11" s="113"/>
      <c r="U11" s="99"/>
      <c r="V11" s="99"/>
      <c r="W11" s="114"/>
      <c r="X11" s="114"/>
      <c r="Y11" s="114"/>
    </row>
    <row r="12" spans="1:25">
      <c r="A12" s="274"/>
      <c r="B12" s="102"/>
      <c r="C12" s="115" t="s">
        <v>154</v>
      </c>
      <c r="D12" s="109"/>
      <c r="E12" s="103"/>
      <c r="F12" s="116">
        <f>-[1]TCD!$C$305</f>
        <v>3543063.4953909256</v>
      </c>
      <c r="G12" s="116">
        <f>O9-G18-G24</f>
        <v>257230.33386308199</v>
      </c>
      <c r="H12" s="111"/>
      <c r="I12" s="102"/>
      <c r="J12" s="104"/>
      <c r="K12" s="117" t="s">
        <v>155</v>
      </c>
      <c r="L12" s="104"/>
      <c r="M12" s="104"/>
      <c r="N12" s="100">
        <f>-SUMIF('Ressources 31122019'!D:D,'CER 2019'!K12,'Ressources 31122019'!C:C)</f>
        <v>472904.44</v>
      </c>
      <c r="O12" s="100">
        <f>N12</f>
        <v>472904.44</v>
      </c>
      <c r="P12" s="112"/>
      <c r="Q12" s="270"/>
      <c r="T12" s="99"/>
      <c r="U12" s="99"/>
      <c r="V12" s="99"/>
      <c r="W12" s="118"/>
      <c r="X12" s="118"/>
      <c r="Y12" s="118"/>
    </row>
    <row r="13" spans="1:25">
      <c r="A13" s="274"/>
      <c r="B13" s="119"/>
      <c r="C13" s="120" t="s">
        <v>156</v>
      </c>
      <c r="D13" s="104"/>
      <c r="E13" s="103"/>
      <c r="F13" s="116"/>
      <c r="G13" s="121"/>
      <c r="H13" s="111"/>
      <c r="I13" s="102"/>
      <c r="J13" s="122"/>
      <c r="K13" s="113" t="s">
        <v>157</v>
      </c>
      <c r="L13" s="99"/>
      <c r="M13" s="99"/>
      <c r="N13" s="100">
        <f>-SUMIF('Ressources 31122019'!D:D,'CER 2019'!K13,'Ressources 31122019'!C:C)</f>
        <v>0</v>
      </c>
      <c r="O13" s="100">
        <f>N13</f>
        <v>0</v>
      </c>
      <c r="P13" s="101"/>
      <c r="Q13" s="269"/>
      <c r="T13" s="99"/>
      <c r="U13" s="99"/>
      <c r="V13" s="99"/>
      <c r="W13" s="118"/>
      <c r="X13" s="118"/>
      <c r="Y13" s="118"/>
    </row>
    <row r="14" spans="1:25">
      <c r="A14" s="274"/>
      <c r="B14" s="102"/>
      <c r="C14" s="103"/>
      <c r="D14" s="104"/>
      <c r="E14" s="104"/>
      <c r="F14" s="100"/>
      <c r="G14" s="100"/>
      <c r="H14" s="111"/>
      <c r="I14" s="102"/>
      <c r="J14" s="122"/>
      <c r="K14" s="117" t="s">
        <v>158</v>
      </c>
      <c r="L14" s="104"/>
      <c r="M14" s="104"/>
      <c r="N14" s="100">
        <f>-SUMIF('Ressources 31122019'!D:D,'CER 2019'!K14,'Ressources 31122019'!C:C)</f>
        <v>10000</v>
      </c>
      <c r="O14" s="100">
        <f>N14</f>
        <v>10000</v>
      </c>
      <c r="P14" s="112"/>
      <c r="Q14" s="270"/>
      <c r="T14" s="99"/>
      <c r="U14" s="99"/>
      <c r="V14" s="99"/>
      <c r="W14" s="118"/>
      <c r="X14" s="118"/>
      <c r="Y14" s="118"/>
    </row>
    <row r="15" spans="1:25">
      <c r="A15" s="274"/>
      <c r="B15" s="102"/>
      <c r="D15" s="104"/>
      <c r="E15" s="104"/>
      <c r="F15" s="105"/>
      <c r="G15" s="105"/>
      <c r="H15" s="111"/>
      <c r="I15" s="102"/>
      <c r="J15" s="104"/>
      <c r="K15" s="117" t="s">
        <v>159</v>
      </c>
      <c r="L15" s="104"/>
      <c r="M15" s="104"/>
      <c r="N15" s="100">
        <f>-SUMIF('Ressources 31122019'!D:D,'CER 2019'!K15,'Ressources 31122019'!C:C)</f>
        <v>0</v>
      </c>
      <c r="O15" s="100"/>
      <c r="P15" s="112"/>
      <c r="Q15" s="270"/>
      <c r="T15" s="113"/>
      <c r="U15" s="99"/>
      <c r="V15" s="99"/>
      <c r="W15" s="118"/>
      <c r="X15" s="118"/>
      <c r="Y15" s="118"/>
    </row>
    <row r="16" spans="1:25">
      <c r="A16" s="274"/>
      <c r="B16" s="102"/>
      <c r="D16" s="123"/>
      <c r="E16" s="104"/>
      <c r="F16" s="100"/>
      <c r="G16" s="100"/>
      <c r="H16" s="111"/>
      <c r="I16" s="102"/>
      <c r="N16" s="100"/>
      <c r="O16" s="124"/>
      <c r="P16" s="112"/>
      <c r="Q16" s="270"/>
      <c r="T16" s="125"/>
      <c r="U16" s="99"/>
      <c r="V16" s="99"/>
      <c r="W16" s="118"/>
      <c r="X16" s="118"/>
      <c r="Y16" s="118"/>
    </row>
    <row r="17" spans="1:21">
      <c r="A17" s="274"/>
      <c r="B17" s="102"/>
      <c r="C17" s="103" t="s">
        <v>160</v>
      </c>
      <c r="D17" s="103"/>
      <c r="E17" s="104"/>
      <c r="F17" s="105">
        <f>F18+F19</f>
        <v>2177719.1228062743</v>
      </c>
      <c r="G17" s="100">
        <f>G18+G19</f>
        <v>0</v>
      </c>
      <c r="H17" s="111"/>
      <c r="I17" s="102"/>
      <c r="J17" s="103" t="s">
        <v>161</v>
      </c>
      <c r="K17" s="126"/>
      <c r="L17" s="104"/>
      <c r="M17" s="104"/>
      <c r="N17" s="105">
        <f>N18</f>
        <v>0</v>
      </c>
      <c r="O17" s="105">
        <f>O18</f>
        <v>0</v>
      </c>
      <c r="P17" s="112"/>
      <c r="Q17" s="271"/>
      <c r="S17" s="127"/>
      <c r="T17" s="99"/>
      <c r="U17" s="128"/>
    </row>
    <row r="18" spans="1:21">
      <c r="A18" s="274"/>
      <c r="B18" s="102"/>
      <c r="C18" s="115" t="s">
        <v>162</v>
      </c>
      <c r="D18" s="109"/>
      <c r="E18" s="104"/>
      <c r="F18" s="116">
        <f>-[1]TCD!$E$305</f>
        <v>1632248.3228062741</v>
      </c>
      <c r="G18" s="116"/>
      <c r="H18" s="111"/>
      <c r="I18" s="102"/>
      <c r="K18" s="117"/>
      <c r="L18" s="104"/>
      <c r="M18" s="104"/>
      <c r="N18" s="105"/>
      <c r="O18" s="105">
        <f>O19</f>
        <v>0</v>
      </c>
      <c r="P18" s="112"/>
      <c r="Q18" s="272"/>
      <c r="R18" s="99"/>
      <c r="S18" s="127"/>
      <c r="T18" s="99"/>
      <c r="U18" s="128"/>
    </row>
    <row r="19" spans="1:21">
      <c r="A19" s="274"/>
      <c r="B19" s="102"/>
      <c r="C19" s="115" t="s">
        <v>163</v>
      </c>
      <c r="D19" s="109"/>
      <c r="E19" s="104"/>
      <c r="F19" s="116">
        <f>-[1]TCD!$D$305</f>
        <v>545470.80000000005</v>
      </c>
      <c r="G19" s="116"/>
      <c r="H19" s="111"/>
      <c r="I19" s="102"/>
      <c r="J19" s="104"/>
      <c r="K19" s="117"/>
      <c r="L19" s="104"/>
      <c r="M19" s="104"/>
      <c r="N19" s="100"/>
      <c r="O19" s="100">
        <f>N19</f>
        <v>0</v>
      </c>
      <c r="P19" s="112"/>
      <c r="Q19" s="273"/>
      <c r="R19" s="99"/>
      <c r="S19" s="127"/>
      <c r="T19" s="99"/>
      <c r="U19" s="129"/>
    </row>
    <row r="20" spans="1:21">
      <c r="A20" s="274"/>
      <c r="B20" s="102"/>
      <c r="C20" s="104" t="s">
        <v>164</v>
      </c>
      <c r="D20" s="103"/>
      <c r="E20" s="104"/>
      <c r="F20" s="100"/>
      <c r="G20" s="100"/>
      <c r="H20" s="111"/>
      <c r="I20" s="102"/>
      <c r="J20" s="104"/>
      <c r="K20" s="104"/>
      <c r="L20" s="104"/>
      <c r="M20" s="104"/>
      <c r="N20" s="100"/>
      <c r="O20" s="130"/>
      <c r="P20" s="112"/>
      <c r="Q20" s="269"/>
      <c r="S20" s="127"/>
      <c r="T20" s="99"/>
      <c r="U20" s="129"/>
    </row>
    <row r="21" spans="1:21">
      <c r="A21" s="274"/>
      <c r="B21" s="102"/>
      <c r="C21" s="104"/>
      <c r="D21" s="103"/>
      <c r="E21" s="104"/>
      <c r="F21" s="100"/>
      <c r="G21" s="100"/>
      <c r="H21" s="111"/>
      <c r="I21" s="102"/>
      <c r="J21" s="103" t="s">
        <v>165</v>
      </c>
      <c r="K21" s="104"/>
      <c r="L21" s="104"/>
      <c r="M21" s="104"/>
      <c r="N21" s="105">
        <f>SUM(N22:N25)</f>
        <v>3193932.1100000003</v>
      </c>
      <c r="O21" s="131"/>
      <c r="P21" s="112"/>
      <c r="Q21" s="269"/>
      <c r="S21" s="127"/>
      <c r="T21" s="99"/>
      <c r="U21" s="129"/>
    </row>
    <row r="22" spans="1:21">
      <c r="A22" s="274"/>
      <c r="B22" s="102"/>
      <c r="C22" s="104"/>
      <c r="D22" s="103"/>
      <c r="E22" s="104"/>
      <c r="F22" s="100"/>
      <c r="G22" s="100"/>
      <c r="H22" s="111"/>
      <c r="I22" s="102"/>
      <c r="J22" s="104"/>
      <c r="K22" s="117" t="s">
        <v>166</v>
      </c>
      <c r="L22" s="59"/>
      <c r="M22" s="59"/>
      <c r="N22" s="100">
        <f>-SUMIF('Ressources 31122019'!D:D,'CER 2019'!K22,'Ressources 31122019'!C:C)</f>
        <v>6200</v>
      </c>
      <c r="O22" s="131"/>
      <c r="P22" s="112"/>
      <c r="Q22" s="269">
        <f>N22/$N$34</f>
        <v>9.5370360890305816E-4</v>
      </c>
      <c r="S22" s="127"/>
      <c r="T22" s="99"/>
      <c r="U22" s="128"/>
    </row>
    <row r="23" spans="1:21" ht="15" customHeight="1">
      <c r="A23" s="274">
        <f>F23/$F$34</f>
        <v>8.2412013384674521E-2</v>
      </c>
      <c r="B23" s="102"/>
      <c r="C23" s="103" t="s">
        <v>167</v>
      </c>
      <c r="D23" s="109"/>
      <c r="E23" s="104"/>
      <c r="F23" s="105">
        <f>F24+F25+F26</f>
        <v>554287.22728064633</v>
      </c>
      <c r="G23" s="105">
        <f>G24+G25+G26</f>
        <v>225674.10613691801</v>
      </c>
      <c r="H23" s="106" t="s">
        <v>168</v>
      </c>
      <c r="I23" s="102"/>
      <c r="J23" s="104"/>
      <c r="K23" s="117" t="s">
        <v>169</v>
      </c>
      <c r="L23" s="132"/>
      <c r="M23" s="104"/>
      <c r="N23" s="100">
        <f>-SUMIF('Ressources 31122019'!D:D,'CER 2019'!K23,'Ressources 31122019'!C:C)</f>
        <v>1403972.04</v>
      </c>
      <c r="O23" s="131"/>
      <c r="P23" s="112"/>
      <c r="Q23" s="269">
        <f>N23/$N$34</f>
        <v>0.21596341957209497</v>
      </c>
      <c r="S23" s="127"/>
      <c r="T23" s="99"/>
      <c r="U23" s="128"/>
    </row>
    <row r="24" spans="1:21" ht="49" customHeight="1">
      <c r="A24" s="274"/>
      <c r="B24" s="102"/>
      <c r="C24" s="103" t="s">
        <v>170</v>
      </c>
      <c r="D24" s="109"/>
      <c r="E24" s="104"/>
      <c r="F24" s="116">
        <f>-[1]TCD!$F$305</f>
        <v>225674.10613691801</v>
      </c>
      <c r="G24" s="116">
        <f>F24</f>
        <v>225674.10613691801</v>
      </c>
      <c r="H24" s="111"/>
      <c r="I24" s="102"/>
      <c r="J24" s="104"/>
      <c r="K24" s="133" t="s">
        <v>315</v>
      </c>
      <c r="N24" s="100">
        <f>-SUMIF('Ressources 31122019'!D:D,'CER 2019'!K24,'Ressources 31122019'!C:C)</f>
        <v>413826.53</v>
      </c>
      <c r="O24" s="134"/>
      <c r="P24" s="112"/>
      <c r="Q24" s="269">
        <f>N24/$N$34</f>
        <v>6.3656105664649951E-2</v>
      </c>
      <c r="S24" s="127"/>
      <c r="T24" s="99"/>
      <c r="U24" s="129"/>
    </row>
    <row r="25" spans="1:21" ht="28" customHeight="1">
      <c r="A25" s="274"/>
      <c r="B25" s="102"/>
      <c r="C25" s="281" t="s">
        <v>171</v>
      </c>
      <c r="D25" s="281"/>
      <c r="E25" s="104"/>
      <c r="F25" s="116">
        <f>-[1]TCD!$G$305</f>
        <v>164488.28828854926</v>
      </c>
      <c r="G25" s="116"/>
      <c r="H25" s="111"/>
      <c r="I25" s="102"/>
      <c r="J25" s="104"/>
      <c r="K25" s="113" t="s">
        <v>172</v>
      </c>
      <c r="L25" s="104"/>
      <c r="M25" s="104"/>
      <c r="N25" s="100">
        <f>-SUMIF('Ressources 31122019'!D:D,'CER 2019'!K25,'Ressources 31122019'!C:C)</f>
        <v>1369933.5400000003</v>
      </c>
      <c r="O25" s="131"/>
      <c r="P25" s="112"/>
      <c r="Q25" s="269">
        <f>N25/$N$34</f>
        <v>0.21072750984763586</v>
      </c>
      <c r="S25" s="127"/>
      <c r="T25" s="99"/>
      <c r="U25" s="128"/>
    </row>
    <row r="26" spans="1:21" ht="34" customHeight="1">
      <c r="A26" s="274"/>
      <c r="B26" s="102"/>
      <c r="C26" s="281" t="s">
        <v>173</v>
      </c>
      <c r="D26" s="281"/>
      <c r="E26" s="104"/>
      <c r="F26" s="116">
        <f>-[1]TCD!$H$305</f>
        <v>164124.83285517909</v>
      </c>
      <c r="G26" s="116"/>
      <c r="H26" s="111"/>
      <c r="I26" s="102"/>
      <c r="J26" s="104"/>
      <c r="K26" s="113"/>
      <c r="L26" s="104"/>
      <c r="M26" s="104"/>
      <c r="N26" s="100"/>
      <c r="O26" s="131"/>
      <c r="P26" s="112"/>
      <c r="Q26" s="269"/>
      <c r="S26" s="127"/>
      <c r="T26" s="99"/>
      <c r="U26" s="128"/>
    </row>
    <row r="27" spans="1:21">
      <c r="A27" s="274"/>
      <c r="B27" s="102"/>
      <c r="C27" s="104"/>
      <c r="D27" s="109"/>
      <c r="E27" s="104"/>
      <c r="F27" s="100"/>
      <c r="G27" s="100"/>
      <c r="H27" s="111"/>
      <c r="I27" s="102"/>
      <c r="J27" s="103" t="s">
        <v>174</v>
      </c>
      <c r="K27" s="104"/>
      <c r="L27" s="104"/>
      <c r="M27" s="104"/>
      <c r="N27" s="105">
        <f>-SUMIF('Ressources 31122019'!D:D,'CER 2019'!J27,'Ressources 31122019'!C:C)</f>
        <v>2760727.5700000003</v>
      </c>
      <c r="O27" s="131"/>
      <c r="P27" s="112"/>
      <c r="Q27" s="269">
        <f>N27/$N$34</f>
        <v>0.424663846243092</v>
      </c>
      <c r="S27" s="127"/>
      <c r="T27" s="99"/>
      <c r="U27" s="128"/>
    </row>
    <row r="28" spans="1:21">
      <c r="A28" s="274"/>
      <c r="B28" s="102"/>
      <c r="C28" s="104"/>
      <c r="D28" s="109"/>
      <c r="E28" s="104"/>
      <c r="F28" s="100"/>
      <c r="G28" s="100"/>
      <c r="H28" s="111"/>
      <c r="I28" s="102"/>
      <c r="J28" s="104"/>
      <c r="K28" s="104"/>
      <c r="L28" s="104"/>
      <c r="M28" s="104"/>
      <c r="N28" s="100"/>
      <c r="O28" s="131"/>
      <c r="P28" s="112"/>
      <c r="Q28" s="269"/>
      <c r="S28" s="127"/>
      <c r="T28" s="99"/>
      <c r="U28" s="128"/>
    </row>
    <row r="29" spans="1:21">
      <c r="A29" s="274">
        <f>F29/$F$34</f>
        <v>6.7015953745856088E-2</v>
      </c>
      <c r="B29" s="102"/>
      <c r="C29" s="103" t="s">
        <v>175</v>
      </c>
      <c r="F29" s="121">
        <f>-[1]TCD!$J$305</f>
        <v>450736.31452215393</v>
      </c>
      <c r="G29" s="116">
        <v>0</v>
      </c>
      <c r="H29" s="106" t="s">
        <v>176</v>
      </c>
      <c r="I29" s="102"/>
      <c r="J29" s="135" t="s">
        <v>177</v>
      </c>
      <c r="L29" s="99"/>
      <c r="M29" s="104"/>
      <c r="N29" s="105">
        <f>SUM(N30:N33)</f>
        <v>63407.399999999994</v>
      </c>
      <c r="O29" s="131"/>
      <c r="P29" s="112"/>
      <c r="Q29" s="269">
        <f>N29/$N$34</f>
        <v>9.7535268082515753E-3</v>
      </c>
      <c r="S29" s="135"/>
      <c r="T29" s="135"/>
      <c r="U29" s="129"/>
    </row>
    <row r="30" spans="1:21">
      <c r="B30" s="102"/>
      <c r="C30" s="115"/>
      <c r="D30" s="103"/>
      <c r="E30" s="103"/>
      <c r="F30" s="105"/>
      <c r="G30" s="105"/>
      <c r="H30" s="111"/>
      <c r="I30" s="102"/>
      <c r="J30" s="135"/>
      <c r="K30" s="60" t="s">
        <v>178</v>
      </c>
      <c r="L30" s="99"/>
      <c r="M30" s="104"/>
      <c r="N30" s="100">
        <f>-SUMIF('Ressources 31122019'!D:D,'CER 2019'!K30,'Ressources 31122019'!C:C)</f>
        <v>7066.619999999999</v>
      </c>
      <c r="O30" s="131"/>
      <c r="P30" s="112"/>
      <c r="Q30" s="275"/>
      <c r="S30" s="135"/>
      <c r="T30" s="135"/>
      <c r="U30" s="129"/>
    </row>
    <row r="31" spans="1:21">
      <c r="B31" s="102"/>
      <c r="D31" s="104"/>
      <c r="E31" s="104"/>
      <c r="F31" s="105"/>
      <c r="G31" s="105"/>
      <c r="H31" s="106"/>
      <c r="I31" s="102"/>
      <c r="J31" s="135"/>
      <c r="K31" s="104"/>
      <c r="L31" s="99"/>
      <c r="M31" s="104"/>
      <c r="N31" s="100"/>
      <c r="O31" s="131"/>
      <c r="P31" s="112"/>
      <c r="Q31" s="275"/>
      <c r="S31" s="135"/>
      <c r="T31" s="135"/>
      <c r="U31" s="129"/>
    </row>
    <row r="32" spans="1:21" ht="18" customHeight="1" thickBot="1">
      <c r="B32" s="102"/>
      <c r="C32" s="103"/>
      <c r="D32" s="103"/>
      <c r="E32" s="103"/>
      <c r="F32" s="105"/>
      <c r="G32" s="105"/>
      <c r="H32" s="112"/>
      <c r="I32" s="102"/>
      <c r="J32" s="122"/>
      <c r="K32" s="60" t="s">
        <v>179</v>
      </c>
      <c r="L32" s="104"/>
      <c r="M32" s="104"/>
      <c r="N32" s="100">
        <f>-SUMIF('Ressources 31122019'!D:D,'CER 2019'!K32,'Ressources 31122019'!C:C)</f>
        <v>50000</v>
      </c>
      <c r="O32" s="136"/>
      <c r="P32" s="112"/>
      <c r="Q32" s="275"/>
    </row>
    <row r="33" spans="2:19" ht="21" customHeight="1" thickBot="1">
      <c r="B33" s="102"/>
      <c r="C33" s="103" t="s">
        <v>180</v>
      </c>
      <c r="D33" s="104"/>
      <c r="E33" s="103"/>
      <c r="F33" s="137"/>
      <c r="G33" s="138">
        <f>G9+G23+G29</f>
        <v>482904.44</v>
      </c>
      <c r="H33" s="112" t="s">
        <v>181</v>
      </c>
      <c r="I33" s="139"/>
      <c r="J33" s="140"/>
      <c r="K33" s="141" t="s">
        <v>182</v>
      </c>
      <c r="L33" s="141"/>
      <c r="M33" s="141"/>
      <c r="N33" s="142">
        <f>-SUMIF('Ressources 31122019'!D:D,'CER 2019'!K33,'Ressources 31122019'!C:C)</f>
        <v>6340.78</v>
      </c>
      <c r="O33" s="143"/>
      <c r="P33" s="144"/>
      <c r="Q33" s="269"/>
      <c r="R33" s="59"/>
    </row>
    <row r="34" spans="2:19" ht="33.75" customHeight="1" thickBot="1">
      <c r="B34" s="145"/>
      <c r="C34" s="282" t="s">
        <v>183</v>
      </c>
      <c r="D34" s="282"/>
      <c r="E34" s="146"/>
      <c r="F34" s="138">
        <f>F29+F23+F9</f>
        <v>6725806.1600000001</v>
      </c>
      <c r="G34" s="147"/>
      <c r="H34" s="148"/>
      <c r="I34" s="139"/>
      <c r="J34" s="283" t="s">
        <v>184</v>
      </c>
      <c r="K34" s="284"/>
      <c r="L34" s="284"/>
      <c r="M34" s="149"/>
      <c r="N34" s="137">
        <f>N29+N27+N21+N9</f>
        <v>6500971.5200000005</v>
      </c>
      <c r="O34" s="150"/>
      <c r="P34" s="144"/>
      <c r="Q34" s="270"/>
      <c r="S34" s="61"/>
    </row>
    <row r="35" spans="2:19" ht="33.75" customHeight="1" thickBot="1">
      <c r="B35" s="139"/>
      <c r="C35" s="283" t="s">
        <v>185</v>
      </c>
      <c r="D35" s="283"/>
      <c r="E35" s="149"/>
      <c r="F35" s="137">
        <f>-[1]TCD!$I$305</f>
        <v>48729.380000000005</v>
      </c>
      <c r="G35" s="151"/>
      <c r="H35" s="152"/>
      <c r="I35" s="139"/>
      <c r="J35" s="153" t="s">
        <v>186</v>
      </c>
      <c r="K35" s="154"/>
      <c r="L35" s="154"/>
      <c r="M35" s="149"/>
      <c r="N35" s="137">
        <f>-SUMIF('Ressources 31122019'!D:D,'CER 2019'!J35,'Ressources 31122019'!C:C)</f>
        <v>404499.34</v>
      </c>
      <c r="O35" s="150"/>
      <c r="P35" s="144"/>
      <c r="Q35" s="270"/>
    </row>
    <row r="36" spans="2:19" ht="33.75" customHeight="1" thickBot="1">
      <c r="B36" s="139"/>
      <c r="C36" s="283" t="s">
        <v>187</v>
      </c>
      <c r="D36" s="283"/>
      <c r="E36" s="149"/>
      <c r="F36" s="137">
        <v>0</v>
      </c>
      <c r="G36" s="150"/>
      <c r="H36" s="152"/>
      <c r="I36" s="139"/>
      <c r="J36" s="283" t="s">
        <v>188</v>
      </c>
      <c r="K36" s="283"/>
      <c r="L36" s="283"/>
      <c r="M36" s="155"/>
      <c r="N36" s="138">
        <v>0</v>
      </c>
      <c r="O36" s="156"/>
      <c r="P36" s="144"/>
      <c r="Q36" s="270"/>
    </row>
    <row r="37" spans="2:19" ht="33.75" customHeight="1" thickBot="1">
      <c r="B37" s="157"/>
      <c r="C37" s="158"/>
      <c r="D37" s="158"/>
      <c r="E37" s="158"/>
      <c r="F37" s="159"/>
      <c r="G37" s="159"/>
      <c r="H37" s="160"/>
      <c r="I37" s="161"/>
      <c r="J37" s="285" t="s">
        <v>189</v>
      </c>
      <c r="K37" s="285"/>
      <c r="L37" s="285"/>
      <c r="M37" s="286"/>
      <c r="N37" s="162"/>
      <c r="O37" s="163">
        <v>0</v>
      </c>
      <c r="P37" s="164" t="s">
        <v>190</v>
      </c>
      <c r="Q37" s="61"/>
    </row>
    <row r="38" spans="2:19" ht="33.75" customHeight="1" thickBot="1">
      <c r="B38" s="145"/>
      <c r="C38" s="282" t="s">
        <v>191</v>
      </c>
      <c r="D38" s="282"/>
      <c r="E38" s="146"/>
      <c r="F38" s="138">
        <f>'Ressources 31122019'!C69</f>
        <v>130935.32000000402</v>
      </c>
      <c r="G38" s="147"/>
      <c r="H38" s="148"/>
      <c r="I38" s="145"/>
      <c r="J38" s="287" t="s">
        <v>192</v>
      </c>
      <c r="K38" s="287"/>
      <c r="L38" s="287"/>
      <c r="M38" s="146"/>
      <c r="N38" s="138"/>
      <c r="O38" s="147"/>
      <c r="P38" s="165"/>
      <c r="Q38" s="270"/>
    </row>
    <row r="39" spans="2:19" ht="41.25" customHeight="1" thickBot="1">
      <c r="B39" s="139"/>
      <c r="C39" s="296" t="s">
        <v>193</v>
      </c>
      <c r="D39" s="296"/>
      <c r="E39" s="149"/>
      <c r="F39" s="137">
        <f>+F34+F35+F36+F38</f>
        <v>6905470.8600000041</v>
      </c>
      <c r="G39" s="151"/>
      <c r="H39" s="152"/>
      <c r="I39" s="139"/>
      <c r="J39" s="296" t="s">
        <v>194</v>
      </c>
      <c r="K39" s="296"/>
      <c r="L39" s="296"/>
      <c r="M39" s="149"/>
      <c r="N39" s="137">
        <f>N34+N36+N35+N38</f>
        <v>6905470.8600000003</v>
      </c>
      <c r="O39" s="166">
        <f>O9+O37</f>
        <v>482904.44</v>
      </c>
      <c r="P39" s="288" t="s">
        <v>195</v>
      </c>
      <c r="Q39" s="61"/>
      <c r="R39" s="61"/>
    </row>
    <row r="40" spans="2:19" ht="30" customHeight="1" thickBot="1">
      <c r="B40" s="139"/>
      <c r="C40" s="282" t="s">
        <v>196</v>
      </c>
      <c r="D40" s="282"/>
      <c r="E40" s="289"/>
      <c r="F40" s="150"/>
      <c r="G40" s="137">
        <v>0</v>
      </c>
      <c r="H40" s="167" t="s">
        <v>197</v>
      </c>
      <c r="I40" s="168"/>
      <c r="J40" s="168"/>
      <c r="K40" s="168"/>
      <c r="L40" s="168"/>
      <c r="M40" s="168"/>
      <c r="N40" s="131"/>
      <c r="O40" s="131"/>
      <c r="P40" s="288"/>
      <c r="Q40" s="108"/>
    </row>
    <row r="41" spans="2:19" ht="48" customHeight="1" thickBot="1">
      <c r="B41" s="139"/>
      <c r="C41" s="283" t="s">
        <v>198</v>
      </c>
      <c r="D41" s="283"/>
      <c r="E41" s="149"/>
      <c r="F41" s="151"/>
      <c r="G41" s="137">
        <v>0</v>
      </c>
      <c r="H41" s="169" t="s">
        <v>199</v>
      </c>
      <c r="I41" s="170"/>
      <c r="J41" s="171"/>
      <c r="K41" s="171"/>
      <c r="L41" s="171"/>
      <c r="M41" s="171"/>
      <c r="N41" s="151"/>
      <c r="O41" s="151"/>
      <c r="P41" s="112"/>
      <c r="Q41" s="61"/>
    </row>
    <row r="42" spans="2:19" ht="42" customHeight="1" thickBot="1">
      <c r="B42" s="102"/>
      <c r="C42" s="281" t="s">
        <v>200</v>
      </c>
      <c r="D42" s="281"/>
      <c r="E42" s="99"/>
      <c r="F42" s="131"/>
      <c r="G42" s="137">
        <f>G33+G40-G41</f>
        <v>482904.44</v>
      </c>
      <c r="H42" s="290" t="s">
        <v>201</v>
      </c>
      <c r="I42" s="139"/>
      <c r="J42" s="283" t="s">
        <v>202</v>
      </c>
      <c r="K42" s="283"/>
      <c r="L42" s="283"/>
      <c r="M42" s="149"/>
      <c r="N42" s="151"/>
      <c r="O42" s="137">
        <f>G42</f>
        <v>482904.44</v>
      </c>
      <c r="P42" s="172" t="s">
        <v>203</v>
      </c>
      <c r="Q42" s="61"/>
    </row>
    <row r="43" spans="2:19" ht="42" customHeight="1" thickBot="1">
      <c r="B43" s="173"/>
      <c r="C43" s="174"/>
      <c r="D43" s="174"/>
      <c r="E43" s="174"/>
      <c r="F43" s="150"/>
      <c r="G43" s="150"/>
      <c r="H43" s="290"/>
      <c r="I43" s="102"/>
      <c r="J43" s="281" t="s">
        <v>204</v>
      </c>
      <c r="K43" s="281"/>
      <c r="L43" s="281"/>
      <c r="M43" s="99"/>
      <c r="N43" s="134"/>
      <c r="O43" s="105">
        <f>O39-O42+O7</f>
        <v>0</v>
      </c>
      <c r="P43" s="291" t="s">
        <v>205</v>
      </c>
      <c r="Q43" s="61"/>
    </row>
    <row r="44" spans="2:19" ht="37" customHeight="1" thickBot="1">
      <c r="B44" s="293" t="s">
        <v>206</v>
      </c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5"/>
      <c r="P44" s="292"/>
      <c r="Q44" s="61"/>
    </row>
    <row r="45" spans="2:19" ht="14.25" customHeight="1">
      <c r="B45" s="102"/>
      <c r="C45" s="281" t="s">
        <v>207</v>
      </c>
      <c r="D45" s="281"/>
      <c r="E45" s="99"/>
      <c r="F45" s="175">
        <f>N46+N47</f>
        <v>281576</v>
      </c>
      <c r="G45" s="131"/>
      <c r="H45" s="111"/>
      <c r="I45" s="102"/>
      <c r="J45" s="176" t="s">
        <v>208</v>
      </c>
      <c r="K45" s="176"/>
      <c r="L45" s="176"/>
      <c r="M45" s="99"/>
      <c r="N45" s="177">
        <v>0</v>
      </c>
      <c r="O45" s="131"/>
      <c r="P45" s="178"/>
      <c r="Q45" s="61" t="s">
        <v>209</v>
      </c>
    </row>
    <row r="46" spans="2:19" ht="14.25" customHeight="1">
      <c r="B46" s="102"/>
      <c r="C46" s="281" t="s">
        <v>210</v>
      </c>
      <c r="D46" s="281"/>
      <c r="E46" s="135"/>
      <c r="F46" s="175"/>
      <c r="G46" s="131"/>
      <c r="H46" s="179"/>
      <c r="I46" s="102"/>
      <c r="J46" s="176" t="s">
        <v>211</v>
      </c>
      <c r="K46" s="176"/>
      <c r="L46" s="176"/>
      <c r="M46" s="104"/>
      <c r="N46" s="177">
        <f>206768+68608</f>
        <v>275376</v>
      </c>
      <c r="O46" s="131"/>
      <c r="P46" s="178"/>
      <c r="Q46" s="61" t="s">
        <v>212</v>
      </c>
    </row>
    <row r="47" spans="2:19" ht="14.25" customHeight="1" thickBot="1">
      <c r="B47" s="102"/>
      <c r="C47" s="281" t="s">
        <v>213</v>
      </c>
      <c r="D47" s="281"/>
      <c r="E47" s="135"/>
      <c r="F47" s="180">
        <v>0</v>
      </c>
      <c r="G47" s="131"/>
      <c r="H47" s="179"/>
      <c r="I47" s="102"/>
      <c r="J47" s="176" t="s">
        <v>214</v>
      </c>
      <c r="K47" s="176"/>
      <c r="L47" s="176"/>
      <c r="M47" s="104"/>
      <c r="N47" s="177">
        <v>6200</v>
      </c>
      <c r="O47" s="131"/>
      <c r="P47" s="178"/>
      <c r="Q47" s="61" t="s">
        <v>316</v>
      </c>
    </row>
    <row r="48" spans="2:19" ht="18.75" customHeight="1" thickBot="1">
      <c r="B48" s="139"/>
      <c r="C48" s="154"/>
      <c r="D48" s="181" t="s">
        <v>215</v>
      </c>
      <c r="E48" s="153"/>
      <c r="F48" s="180">
        <f>SUM(F45:F47)</f>
        <v>281576</v>
      </c>
      <c r="G48" s="150"/>
      <c r="H48" s="182"/>
      <c r="I48" s="139"/>
      <c r="J48" s="154"/>
      <c r="K48" s="154"/>
      <c r="L48" s="181" t="s">
        <v>215</v>
      </c>
      <c r="M48" s="153"/>
      <c r="N48" s="180">
        <f>SUM(N45:N47)</f>
        <v>281576</v>
      </c>
      <c r="O48" s="150"/>
      <c r="P48" s="183"/>
      <c r="Q48" s="61"/>
    </row>
    <row r="49" spans="1:16" ht="8.25" customHeight="1">
      <c r="C49" s="104"/>
      <c r="D49" s="184"/>
      <c r="E49" s="104"/>
      <c r="F49" s="185"/>
      <c r="G49" s="186"/>
      <c r="I49" s="104"/>
      <c r="J49" s="104"/>
      <c r="K49" s="104"/>
      <c r="L49" s="184"/>
      <c r="M49" s="104"/>
      <c r="N49" s="186"/>
      <c r="O49" s="186"/>
      <c r="P49" s="104"/>
    </row>
    <row r="50" spans="1:16" s="189" customFormat="1">
      <c r="A50" s="187"/>
      <c r="B50" s="188"/>
      <c r="F50" s="190"/>
      <c r="G50" s="190"/>
      <c r="N50" s="190"/>
      <c r="O50" s="190"/>
      <c r="P50" s="191"/>
    </row>
    <row r="51" spans="1:16" s="189" customFormat="1" ht="8.25" customHeight="1">
      <c r="A51" s="187"/>
      <c r="C51" s="188"/>
      <c r="D51" s="188"/>
      <c r="E51" s="192"/>
      <c r="F51" s="193"/>
      <c r="G51" s="190"/>
      <c r="H51" s="188"/>
      <c r="N51" s="190"/>
      <c r="O51" s="190"/>
      <c r="P51" s="191"/>
    </row>
    <row r="52" spans="1:16" s="189" customFormat="1">
      <c r="A52" s="187"/>
      <c r="B52" s="188"/>
      <c r="C52" s="188"/>
      <c r="D52" s="188"/>
      <c r="F52" s="190"/>
      <c r="G52" s="190"/>
      <c r="H52" s="188"/>
      <c r="L52" s="194" t="s">
        <v>216</v>
      </c>
      <c r="M52" s="195"/>
      <c r="N52" s="196">
        <f>F39-N39</f>
        <v>0</v>
      </c>
      <c r="O52" s="190"/>
      <c r="P52" s="191"/>
    </row>
    <row r="53" spans="1:16">
      <c r="B53" s="188"/>
      <c r="C53" s="188"/>
      <c r="D53" s="188"/>
      <c r="E53" s="189"/>
      <c r="F53" s="190"/>
      <c r="G53" s="190"/>
      <c r="H53" s="188"/>
      <c r="I53" s="189"/>
      <c r="J53" s="189"/>
      <c r="K53" s="189"/>
      <c r="L53" s="189"/>
      <c r="M53" s="189"/>
      <c r="N53" s="190"/>
      <c r="O53" s="190"/>
      <c r="P53" s="191"/>
    </row>
    <row r="54" spans="1:16">
      <c r="C54" s="197"/>
      <c r="D54" s="189"/>
      <c r="E54" s="189"/>
      <c r="F54" s="190"/>
      <c r="P54" s="104"/>
    </row>
    <row r="55" spans="1:16">
      <c r="B55" s="197"/>
      <c r="E55" s="198"/>
      <c r="F55" s="199"/>
      <c r="H55" s="197"/>
      <c r="P55" s="104"/>
    </row>
    <row r="56" spans="1:16">
      <c r="B56" s="197"/>
      <c r="C56" s="200"/>
      <c r="E56" s="198"/>
      <c r="I56" s="197"/>
      <c r="L56" s="108"/>
      <c r="P56" s="104"/>
    </row>
    <row r="57" spans="1:16" ht="37.5" customHeight="1">
      <c r="E57" s="198"/>
      <c r="I57" s="197"/>
    </row>
    <row r="63" spans="1:16">
      <c r="P63" s="197"/>
    </row>
    <row r="64" spans="1:16">
      <c r="P64" s="197"/>
    </row>
  </sheetData>
  <mergeCells count="26">
    <mergeCell ref="C45:D45"/>
    <mergeCell ref="C46:D46"/>
    <mergeCell ref="C47:D47"/>
    <mergeCell ref="C39:D39"/>
    <mergeCell ref="J39:L39"/>
    <mergeCell ref="P39:P40"/>
    <mergeCell ref="C40:E40"/>
    <mergeCell ref="C41:D41"/>
    <mergeCell ref="C42:D42"/>
    <mergeCell ref="H42:H43"/>
    <mergeCell ref="J42:L42"/>
    <mergeCell ref="J43:L43"/>
    <mergeCell ref="P43:P44"/>
    <mergeCell ref="B44:O44"/>
    <mergeCell ref="C35:D35"/>
    <mergeCell ref="C36:D36"/>
    <mergeCell ref="J36:L36"/>
    <mergeCell ref="J37:M37"/>
    <mergeCell ref="C38:D38"/>
    <mergeCell ref="J38:L38"/>
    <mergeCell ref="I5:M5"/>
    <mergeCell ref="J7:L7"/>
    <mergeCell ref="C25:D25"/>
    <mergeCell ref="C26:D26"/>
    <mergeCell ref="C34:D34"/>
    <mergeCell ref="J34:L34"/>
  </mergeCells>
  <printOptions horizontalCentered="1" verticalCentered="1"/>
  <pageMargins left="0" right="0" top="0.4" bottom="0.24000000000000002" header="0.24000000000000002" footer="0.16"/>
  <pageSetup paperSize="9" scale="39" orientation="landscape" cellComments="asDisplayed"/>
  <headerFooter>
    <oddHeader>&amp;L&amp;F  &amp;A&amp;R&amp;D   &amp;T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48"/>
  <sheetViews>
    <sheetView workbookViewId="0">
      <selection activeCell="C4" sqref="C4:C5"/>
    </sheetView>
  </sheetViews>
  <sheetFormatPr baseColWidth="10" defaultRowHeight="16"/>
  <cols>
    <col min="1" max="1" width="55" style="202" customWidth="1"/>
    <col min="2" max="2" width="10.83203125" style="202"/>
    <col min="3" max="3" width="11" style="202" customWidth="1"/>
    <col min="4" max="4" width="15.83203125" style="202" customWidth="1"/>
    <col min="5" max="16384" width="10.83203125" style="202"/>
  </cols>
  <sheetData>
    <row r="1" spans="1:4">
      <c r="A1" s="201">
        <v>2019</v>
      </c>
    </row>
    <row r="3" spans="1:4" s="205" customFormat="1" ht="36" customHeight="1">
      <c r="A3" s="203" t="s">
        <v>217</v>
      </c>
      <c r="B3" s="204" t="s">
        <v>218</v>
      </c>
      <c r="C3" s="204" t="s">
        <v>219</v>
      </c>
      <c r="D3" s="204" t="s">
        <v>248</v>
      </c>
    </row>
    <row r="4" spans="1:4" ht="17">
      <c r="A4" s="202" t="s">
        <v>220</v>
      </c>
      <c r="B4" s="206">
        <f>'CER 2019'!F12</f>
        <v>3543063.4953909256</v>
      </c>
      <c r="C4" s="207">
        <f>B4/$B$10</f>
        <v>0.51308065260461089</v>
      </c>
      <c r="D4" s="216">
        <f>(B4+B5)/($B$10-$B$8)</f>
        <v>0.83432963527701742</v>
      </c>
    </row>
    <row r="5" spans="1:4" ht="17">
      <c r="A5" s="202" t="s">
        <v>221</v>
      </c>
      <c r="B5" s="206">
        <f>'CER 2019'!F17</f>
        <v>2177719.1228062743</v>
      </c>
      <c r="C5" s="207">
        <f>B5/$B$10</f>
        <v>0.31536142385608057</v>
      </c>
      <c r="D5" s="217"/>
    </row>
    <row r="6" spans="1:4" ht="17">
      <c r="A6" s="202" t="s">
        <v>222</v>
      </c>
      <c r="B6" s="206">
        <f>'CER 2019'!F23</f>
        <v>554287.22728064633</v>
      </c>
      <c r="C6" s="207">
        <f>B6/$B$10</f>
        <v>8.0267839589528878E-2</v>
      </c>
      <c r="D6" s="216">
        <f>(B6)/($B$10-$B$8)</f>
        <v>8.0838285780120436E-2</v>
      </c>
    </row>
    <row r="7" spans="1:4" ht="17">
      <c r="A7" s="202" t="s">
        <v>223</v>
      </c>
      <c r="B7" s="206">
        <f>'CER 2019'!F29</f>
        <v>450736.31452215393</v>
      </c>
      <c r="C7" s="207">
        <f>B7/$B$10</f>
        <v>6.5272350526167255E-2</v>
      </c>
      <c r="D7" s="216">
        <f>(B7)/($B$10-$B$8)</f>
        <v>6.5736227016415627E-2</v>
      </c>
    </row>
    <row r="8" spans="1:4" ht="17">
      <c r="A8" s="202" t="s">
        <v>224</v>
      </c>
      <c r="B8" s="206">
        <f>'CER 2019'!F35</f>
        <v>48729.380000000005</v>
      </c>
      <c r="C8" s="207">
        <f>B8/$B$10</f>
        <v>7.0566339338661663E-3</v>
      </c>
      <c r="D8" s="217"/>
    </row>
    <row r="9" spans="1:4" ht="17">
      <c r="A9" s="202" t="s">
        <v>225</v>
      </c>
      <c r="B9" s="206">
        <f>'CER 2019'!F38</f>
        <v>130935.32000000402</v>
      </c>
      <c r="C9" s="207">
        <f>B9/$B$24</f>
        <v>1.8961099489746308E-2</v>
      </c>
      <c r="D9" s="217">
        <f>(B9)/($B$10-$B$8)</f>
        <v>1.9095851926446545E-2</v>
      </c>
    </row>
    <row r="10" spans="1:4" ht="17">
      <c r="A10" s="208" t="s">
        <v>226</v>
      </c>
      <c r="B10" s="209">
        <f>SUM(B4:B9)</f>
        <v>6905470.8600000041</v>
      </c>
      <c r="C10" s="210">
        <f>SUM(C4:C9)</f>
        <v>1</v>
      </c>
      <c r="D10" s="210">
        <f>SUM(D4:D9)</f>
        <v>1</v>
      </c>
    </row>
    <row r="14" spans="1:4" ht="17">
      <c r="A14" s="203" t="s">
        <v>227</v>
      </c>
      <c r="B14" s="204" t="s">
        <v>218</v>
      </c>
      <c r="C14" s="204" t="s">
        <v>219</v>
      </c>
    </row>
    <row r="15" spans="1:4" ht="17">
      <c r="A15" s="202" t="s">
        <v>228</v>
      </c>
      <c r="B15" s="206">
        <f>'CER 2019'!N9</f>
        <v>482904.44</v>
      </c>
      <c r="C15" s="207">
        <f t="shared" ref="C15:C23" si="0">B15/$B$24</f>
        <v>6.9930704189518494E-2</v>
      </c>
    </row>
    <row r="16" spans="1:4" ht="17">
      <c r="A16" s="202" t="s">
        <v>229</v>
      </c>
      <c r="B16" s="206">
        <f>'CER 2019'!N25</f>
        <v>1369933.5400000003</v>
      </c>
      <c r="C16" s="211">
        <f>B16/$B$24</f>
        <v>0.19838379855244223</v>
      </c>
    </row>
    <row r="17" spans="1:4" ht="17">
      <c r="A17" s="202" t="s">
        <v>230</v>
      </c>
      <c r="B17" s="206">
        <f>'CER 2019'!N23</f>
        <v>1403972.04</v>
      </c>
      <c r="C17" s="211">
        <f>B17/$B$24</f>
        <v>0.20331300623285806</v>
      </c>
    </row>
    <row r="18" spans="1:4" ht="17">
      <c r="A18" s="202" t="s">
        <v>231</v>
      </c>
      <c r="B18" s="206">
        <f>'CER 2019'!N24</f>
        <v>413826.53</v>
      </c>
      <c r="C18" s="211">
        <f>B18/$B$24</f>
        <v>5.9927344331737568E-2</v>
      </c>
    </row>
    <row r="19" spans="1:4" ht="17">
      <c r="A19" s="202" t="s">
        <v>232</v>
      </c>
      <c r="B19" s="206">
        <f>'CER 2019'!N22</f>
        <v>6200</v>
      </c>
      <c r="C19" s="211">
        <f>B19/$B$24</f>
        <v>8.9783884773354892E-4</v>
      </c>
    </row>
    <row r="20" spans="1:4" ht="17">
      <c r="A20" s="202" t="s">
        <v>233</v>
      </c>
      <c r="B20" s="206">
        <f>'CER 2019'!N27</f>
        <v>2760727.5700000003</v>
      </c>
      <c r="C20" s="207">
        <f t="shared" si="0"/>
        <v>0.39978846134758722</v>
      </c>
    </row>
    <row r="21" spans="1:4" ht="17">
      <c r="A21" s="202" t="s">
        <v>234</v>
      </c>
      <c r="B21" s="206">
        <f>'CER 2019'!N29</f>
        <v>63407.399999999994</v>
      </c>
      <c r="C21" s="207">
        <f t="shared" si="0"/>
        <v>9.1821978957710038E-3</v>
      </c>
    </row>
    <row r="22" spans="1:4" ht="17">
      <c r="A22" s="202" t="s">
        <v>235</v>
      </c>
      <c r="B22" s="206">
        <f>'CER 2019'!N35</f>
        <v>404499.34</v>
      </c>
      <c r="C22" s="207">
        <f t="shared" si="0"/>
        <v>5.8576648602351782E-2</v>
      </c>
    </row>
    <row r="23" spans="1:4" ht="17">
      <c r="A23" s="202" t="s">
        <v>236</v>
      </c>
      <c r="B23" s="206">
        <f>'CER 2019'!N38</f>
        <v>0</v>
      </c>
      <c r="C23" s="207">
        <f t="shared" si="0"/>
        <v>0</v>
      </c>
    </row>
    <row r="24" spans="1:4" ht="17">
      <c r="A24" s="208" t="s">
        <v>226</v>
      </c>
      <c r="B24" s="209">
        <f>SUM(B15:B23)</f>
        <v>6905470.8600000013</v>
      </c>
      <c r="C24" s="210">
        <f>SUM(C15:C23)</f>
        <v>0.99999999999999989</v>
      </c>
      <c r="D24" s="206"/>
    </row>
    <row r="28" spans="1:4" ht="34">
      <c r="A28" s="212" t="s">
        <v>237</v>
      </c>
      <c r="B28" s="213">
        <f>'CER 2019'!N21</f>
        <v>3193932.1100000003</v>
      </c>
      <c r="C28" s="214">
        <f>B28/$B$24</f>
        <v>0.4625219879647714</v>
      </c>
    </row>
    <row r="31" spans="1:4" ht="17">
      <c r="A31" s="203" t="s">
        <v>238</v>
      </c>
      <c r="B31" s="204" t="s">
        <v>218</v>
      </c>
      <c r="C31" s="204" t="s">
        <v>219</v>
      </c>
    </row>
    <row r="32" spans="1:4" ht="15" customHeight="1">
      <c r="A32" s="202" t="str">
        <f>A15</f>
        <v>Ressources collectées aupres du public</v>
      </c>
      <c r="B32" s="206">
        <f>B15</f>
        <v>482904.44</v>
      </c>
      <c r="C32" s="215">
        <f>B32/B$39</f>
        <v>7.4281888255372616E-2</v>
      </c>
    </row>
    <row r="33" spans="1:3" ht="17">
      <c r="A33" s="202" t="str">
        <f t="shared" ref="A33:B38" si="1">A16</f>
        <v>Autres Fonds privés : publications et pdts dérivés</v>
      </c>
      <c r="B33" s="206">
        <f>B16</f>
        <v>1369933.5400000003</v>
      </c>
      <c r="C33" s="215">
        <f t="shared" ref="C33:C38" si="2">B33/B$39</f>
        <v>0.2107275098476358</v>
      </c>
    </row>
    <row r="34" spans="1:3" ht="17">
      <c r="A34" s="202" t="str">
        <f t="shared" si="1"/>
        <v>Autres Fonds privés : mécénat et fondations</v>
      </c>
      <c r="B34" s="206">
        <f t="shared" si="1"/>
        <v>1403972.04</v>
      </c>
      <c r="C34" s="215">
        <f t="shared" si="2"/>
        <v>0.21596341957209494</v>
      </c>
    </row>
    <row r="35" spans="1:3" ht="17">
      <c r="A35" s="202" t="str">
        <f t="shared" si="1"/>
        <v>Autres Fonds privés : prix</v>
      </c>
      <c r="B35" s="206">
        <f t="shared" si="1"/>
        <v>413826.53</v>
      </c>
      <c r="C35" s="215">
        <f t="shared" si="2"/>
        <v>6.3656105664649937E-2</v>
      </c>
    </row>
    <row r="36" spans="1:3" ht="17">
      <c r="A36" s="202" t="str">
        <f t="shared" si="1"/>
        <v>Autres Fonds privés : ventes aux enchères</v>
      </c>
      <c r="B36" s="206">
        <f t="shared" si="1"/>
        <v>6200</v>
      </c>
      <c r="C36" s="215">
        <f t="shared" si="2"/>
        <v>9.5370360890305805E-4</v>
      </c>
    </row>
    <row r="37" spans="1:3" ht="17">
      <c r="A37" s="202" t="str">
        <f t="shared" si="1"/>
        <v>Subventions et autres concours publics</v>
      </c>
      <c r="B37" s="206">
        <f t="shared" si="1"/>
        <v>2760727.5700000003</v>
      </c>
      <c r="C37" s="215">
        <f t="shared" si="2"/>
        <v>0.42466384624309195</v>
      </c>
    </row>
    <row r="38" spans="1:3" ht="17">
      <c r="A38" s="202" t="str">
        <f t="shared" si="1"/>
        <v>Autres produits</v>
      </c>
      <c r="B38" s="206">
        <f t="shared" si="1"/>
        <v>63407.399999999994</v>
      </c>
      <c r="C38" s="215">
        <f t="shared" si="2"/>
        <v>9.7535268082515735E-3</v>
      </c>
    </row>
    <row r="39" spans="1:3" ht="17">
      <c r="A39" s="208" t="s">
        <v>226</v>
      </c>
      <c r="B39" s="209">
        <f>SUM(B32:B38)</f>
        <v>6500971.5200000014</v>
      </c>
      <c r="C39" s="210">
        <f>SUM(C30:C38)</f>
        <v>0.99999999999999989</v>
      </c>
    </row>
    <row r="40" spans="1:3">
      <c r="B40" s="206"/>
    </row>
    <row r="42" spans="1:3" ht="17">
      <c r="A42" s="203" t="s">
        <v>239</v>
      </c>
    </row>
    <row r="43" spans="1:3" ht="17">
      <c r="A43" s="202" t="s">
        <v>240</v>
      </c>
      <c r="B43" s="206">
        <f>B33</f>
        <v>1369933.5400000003</v>
      </c>
      <c r="C43" s="215">
        <f>B43/B$46</f>
        <v>0.21072750984763589</v>
      </c>
    </row>
    <row r="44" spans="1:3" ht="17">
      <c r="A44" s="202" t="s">
        <v>241</v>
      </c>
      <c r="B44" s="206">
        <f>B37</f>
        <v>2760727.5700000003</v>
      </c>
      <c r="C44" s="215">
        <f>B44/B$46</f>
        <v>0.42466384624309206</v>
      </c>
    </row>
    <row r="45" spans="1:3" ht="34">
      <c r="A45" s="202" t="s">
        <v>242</v>
      </c>
      <c r="B45" s="206">
        <f>B32+B34+B35+B38+B36</f>
        <v>2370310.4099999997</v>
      </c>
      <c r="C45" s="215">
        <f>B45/B$46</f>
        <v>0.36460864390927217</v>
      </c>
    </row>
    <row r="46" spans="1:3" ht="17">
      <c r="A46" s="208" t="s">
        <v>226</v>
      </c>
      <c r="B46" s="209">
        <f>SUM(B43:B45)</f>
        <v>6500971.5199999996</v>
      </c>
      <c r="C46" s="210">
        <f>SUM(C43:C45)</f>
        <v>1</v>
      </c>
    </row>
    <row r="48" spans="1:3">
      <c r="B48" s="206">
        <f>B39-B46</f>
        <v>0</v>
      </c>
    </row>
  </sheetData>
  <pageMargins left="0.75000000000000011" right="0.75000000000000011" top="1" bottom="1" header="0.5" footer="0.5"/>
  <pageSetup paperSize="9" scale="53" orientation="landscape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5E817-53C2-784E-BF50-D89AC9F9262A}">
  <sheetPr>
    <pageSetUpPr fitToPage="1"/>
  </sheetPr>
  <dimension ref="A1:D45"/>
  <sheetViews>
    <sheetView tabSelected="1" workbookViewId="0">
      <selection activeCell="A5" sqref="A5"/>
    </sheetView>
  </sheetViews>
  <sheetFormatPr baseColWidth="10" defaultRowHeight="16"/>
  <cols>
    <col min="1" max="1" width="55" style="202" customWidth="1"/>
    <col min="2" max="2" width="10.83203125" style="202"/>
    <col min="3" max="3" width="11" style="202" customWidth="1"/>
    <col min="4" max="4" width="15.83203125" style="202" customWidth="1"/>
    <col min="5" max="16384" width="10.83203125" style="202"/>
  </cols>
  <sheetData>
    <row r="1" spans="1:4">
      <c r="A1" s="201">
        <v>2019</v>
      </c>
    </row>
    <row r="3" spans="1:4" s="205" customFormat="1" ht="36" customHeight="1">
      <c r="A3" s="203" t="s">
        <v>454</v>
      </c>
      <c r="B3" s="204" t="s">
        <v>218</v>
      </c>
      <c r="C3" s="204" t="s">
        <v>219</v>
      </c>
      <c r="D3" s="202"/>
    </row>
    <row r="4" spans="1:4" ht="17">
      <c r="A4" s="202" t="s">
        <v>456</v>
      </c>
      <c r="B4" s="206">
        <v>5720782.6181971999</v>
      </c>
      <c r="C4" s="218">
        <v>0.82844207646069146</v>
      </c>
    </row>
    <row r="5" spans="1:4" ht="17">
      <c r="A5" s="202" t="s">
        <v>457</v>
      </c>
      <c r="B5" s="206">
        <v>554287.22728064633</v>
      </c>
      <c r="C5" s="218">
        <v>8.0267839589528878E-2</v>
      </c>
    </row>
    <row r="6" spans="1:4" ht="17">
      <c r="A6" s="202" t="s">
        <v>458</v>
      </c>
      <c r="B6" s="206">
        <v>450736.31452215393</v>
      </c>
      <c r="C6" s="218">
        <v>6.5272350526167255E-2</v>
      </c>
    </row>
    <row r="7" spans="1:4" ht="17">
      <c r="A7" s="202" t="s">
        <v>459</v>
      </c>
      <c r="B7" s="206">
        <v>48729.380000000005</v>
      </c>
      <c r="C7" s="218">
        <v>7.0566339338661663E-3</v>
      </c>
      <c r="D7" s="217"/>
    </row>
    <row r="8" spans="1:4" ht="17">
      <c r="A8" s="202" t="s">
        <v>460</v>
      </c>
      <c r="B8" s="206">
        <v>130935.32000000402</v>
      </c>
      <c r="C8" s="218">
        <v>1.8961099489746308E-2</v>
      </c>
      <c r="D8" s="217"/>
    </row>
    <row r="9" spans="1:4" ht="17">
      <c r="A9" s="208" t="s">
        <v>226</v>
      </c>
      <c r="B9" s="209">
        <v>6905470.8600000041</v>
      </c>
      <c r="C9" s="219">
        <v>1</v>
      </c>
      <c r="D9" s="217"/>
    </row>
    <row r="10" spans="1:4">
      <c r="C10" s="220"/>
    </row>
    <row r="11" spans="1:4">
      <c r="C11" s="220"/>
    </row>
    <row r="12" spans="1:4">
      <c r="C12" s="220"/>
    </row>
    <row r="13" spans="1:4" ht="17">
      <c r="A13" s="203" t="s">
        <v>455</v>
      </c>
      <c r="B13" s="204" t="s">
        <v>218</v>
      </c>
      <c r="C13" s="221" t="s">
        <v>219</v>
      </c>
    </row>
    <row r="14" spans="1:4" ht="17">
      <c r="A14" s="202" t="s">
        <v>463</v>
      </c>
      <c r="B14" s="206">
        <v>482904.44</v>
      </c>
      <c r="C14" s="218">
        <v>6.9930704189518494E-2</v>
      </c>
    </row>
    <row r="15" spans="1:4" ht="17">
      <c r="A15" s="202" t="s">
        <v>462</v>
      </c>
      <c r="B15" s="206">
        <v>1369933.5400000003</v>
      </c>
      <c r="C15" s="222">
        <v>0.19838379855244223</v>
      </c>
    </row>
    <row r="16" spans="1:4" ht="17">
      <c r="A16" s="202" t="s">
        <v>464</v>
      </c>
      <c r="B16" s="206">
        <v>1817798.57</v>
      </c>
      <c r="C16" s="222">
        <v>0.2632403505645956</v>
      </c>
    </row>
    <row r="17" spans="1:4" ht="17">
      <c r="A17" s="202" t="s">
        <v>461</v>
      </c>
      <c r="B17" s="206">
        <v>2760727.5700000003</v>
      </c>
      <c r="C17" s="218">
        <v>0.39978846134758722</v>
      </c>
    </row>
    <row r="18" spans="1:4" ht="17">
      <c r="A18" s="202" t="s">
        <v>465</v>
      </c>
      <c r="B18" s="206">
        <v>63407.399999999994</v>
      </c>
      <c r="C18" s="218">
        <v>9.1821978957710038E-3</v>
      </c>
    </row>
    <row r="19" spans="1:4" ht="17">
      <c r="A19" s="202" t="s">
        <v>467</v>
      </c>
      <c r="B19" s="206">
        <v>404499.34</v>
      </c>
      <c r="C19" s="218">
        <v>5.8576648602351782E-2</v>
      </c>
    </row>
    <row r="20" spans="1:4" ht="17">
      <c r="A20" s="202" t="s">
        <v>466</v>
      </c>
      <c r="B20" s="206">
        <v>6200</v>
      </c>
      <c r="C20" s="218">
        <v>8.9783884773354892E-4</v>
      </c>
    </row>
    <row r="21" spans="1:4" ht="17">
      <c r="A21" s="208" t="s">
        <v>226</v>
      </c>
      <c r="B21" s="209">
        <v>6905470.8600000013</v>
      </c>
      <c r="C21" s="219">
        <v>1</v>
      </c>
      <c r="D21" s="206">
        <f>B9-B21</f>
        <v>0</v>
      </c>
    </row>
    <row r="25" spans="1:4" ht="34">
      <c r="A25" s="212" t="s">
        <v>237</v>
      </c>
      <c r="B25" s="213">
        <v>3193932.1100000003</v>
      </c>
      <c r="C25" s="214">
        <v>0.4625219879647714</v>
      </c>
    </row>
    <row r="28" spans="1:4">
      <c r="A28" s="203"/>
      <c r="B28" s="204"/>
      <c r="C28" s="204"/>
    </row>
    <row r="29" spans="1:4" ht="15" customHeight="1">
      <c r="B29" s="206"/>
      <c r="C29" s="215"/>
    </row>
    <row r="30" spans="1:4">
      <c r="B30" s="206"/>
      <c r="C30" s="215"/>
    </row>
    <row r="31" spans="1:4">
      <c r="B31" s="206"/>
      <c r="C31" s="215"/>
    </row>
    <row r="32" spans="1:4">
      <c r="B32" s="206"/>
      <c r="C32" s="215"/>
    </row>
    <row r="33" spans="1:3">
      <c r="B33" s="206"/>
      <c r="C33" s="215"/>
    </row>
    <row r="34" spans="1:3">
      <c r="B34" s="206"/>
      <c r="C34" s="215"/>
    </row>
    <row r="35" spans="1:3">
      <c r="B35" s="206"/>
      <c r="C35" s="215"/>
    </row>
    <row r="36" spans="1:3">
      <c r="A36" s="208"/>
      <c r="B36" s="209"/>
      <c r="C36" s="210"/>
    </row>
    <row r="37" spans="1:3">
      <c r="B37" s="206"/>
    </row>
    <row r="39" spans="1:3">
      <c r="A39" s="203"/>
    </row>
    <row r="40" spans="1:3">
      <c r="B40" s="206"/>
      <c r="C40" s="215"/>
    </row>
    <row r="41" spans="1:3">
      <c r="B41" s="206"/>
      <c r="C41" s="215"/>
    </row>
    <row r="42" spans="1:3">
      <c r="B42" s="206"/>
      <c r="C42" s="215"/>
    </row>
    <row r="43" spans="1:3">
      <c r="A43" s="208"/>
      <c r="B43" s="209"/>
      <c r="C43" s="210"/>
    </row>
    <row r="45" spans="1:3">
      <c r="B45" s="206"/>
    </row>
  </sheetData>
  <pageMargins left="0.75000000000000011" right="0.75000000000000011" top="1" bottom="1" header="0.5" footer="0.5"/>
  <pageSetup paperSize="9" scale="52" orientation="landscape" horizontalDpi="4294967292" verticalDpi="4294967292" copies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BG311219_DEF</vt:lpstr>
      <vt:lpstr>Charges 31122019</vt:lpstr>
      <vt:lpstr>Ressources 31122019</vt:lpstr>
      <vt:lpstr>CER 2019</vt:lpstr>
      <vt:lpstr>Graph</vt:lpstr>
      <vt:lpstr>Graph pour Rapport activité</vt:lpstr>
      <vt:lpstr>'CER 2019'!Impression_des_titres</vt:lpstr>
      <vt:lpstr>'CER 2019'!Zone_d_impression</vt:lpstr>
      <vt:lpstr>'Charges 31122019'!Zone_d_impression</vt:lpstr>
      <vt:lpstr>'Ressources 31122019'!Zone_d_impression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</dc:creator>
  <cp:lastModifiedBy>Microsoft Office User</cp:lastModifiedBy>
  <cp:lastPrinted>2019-05-17T11:42:47Z</cp:lastPrinted>
  <dcterms:created xsi:type="dcterms:W3CDTF">2018-04-29T14:06:05Z</dcterms:created>
  <dcterms:modified xsi:type="dcterms:W3CDTF">2020-10-05T08:28:23Z</dcterms:modified>
</cp:coreProperties>
</file>